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Kamilah O'Brien\Dropbox (Char. School Bus Mgt)\CSBM-FS Client Services\CSBM\Growing Up Green 1\FY 18-19\Reporting\Authorizer Reports\"/>
    </mc:Choice>
  </mc:AlternateContent>
  <bookViews>
    <workbookView xWindow="0" yWindow="0" windowWidth="20490" windowHeight="7755" tabRatio="760" activeTab="1"/>
  </bookViews>
  <sheets>
    <sheet name="Instructions" sheetId="6" r:id="rId1"/>
    <sheet name="2018-2019 Budget" sheetId="7" r:id="rId2"/>
    <sheet name="Details" sheetId="8" state="hidden" r:id="rId3"/>
    <sheet name="Sheet2" sheetId="9" state="hidden" r:id="rId4"/>
  </sheets>
  <definedNames>
    <definedName name="_Fill" hidden="1">#REF!</definedName>
    <definedName name="_Key1" hidden="1">#REF!</definedName>
    <definedName name="_Order1" hidden="1">255</definedName>
    <definedName name="_Sort" hidden="1">#REF!</definedName>
    <definedName name="_Table1_In1" hidden="1">#REF!</definedName>
    <definedName name="_Table1_Out" hidden="1">#REF!</definedName>
    <definedName name="_Table2_In1" hidden="1">#REF!</definedName>
    <definedName name="_Table2_Out" hidden="1">#REF!</definedName>
    <definedName name="_xlnm.Print_Area" localSheetId="1">'2018-2019 Budget'!$B$2:$O$160</definedName>
    <definedName name="_xlnm.Print_Titles" localSheetId="1">'2018-2019 Budget'!$2:$15</definedName>
  </definedNames>
  <calcPr calcId="152511"/>
</workbook>
</file>

<file path=xl/calcChain.xml><?xml version="1.0" encoding="utf-8"?>
<calcChain xmlns="http://schemas.openxmlformats.org/spreadsheetml/2006/main">
  <c r="G83" i="7" l="1"/>
  <c r="G82" i="7"/>
  <c r="G81" i="7"/>
  <c r="G80" i="7"/>
  <c r="G79" i="7"/>
  <c r="G73" i="7"/>
  <c r="G74" i="7"/>
  <c r="G75" i="7"/>
  <c r="G72" i="7"/>
  <c r="G71" i="7"/>
  <c r="G70" i="7"/>
  <c r="G69" i="7"/>
  <c r="G68" i="7"/>
  <c r="G60" i="7"/>
  <c r="G61" i="7"/>
  <c r="G62" i="7"/>
  <c r="G63" i="7"/>
  <c r="G64" i="7"/>
  <c r="G59" i="7"/>
  <c r="K150" i="7" l="1"/>
  <c r="Q16" i="8" l="1"/>
  <c r="Q28" i="8"/>
  <c r="Q34" i="8"/>
  <c r="Q63" i="8"/>
  <c r="Q128" i="8"/>
  <c r="I3" i="8"/>
  <c r="F56" i="8" s="1"/>
  <c r="B201" i="8"/>
  <c r="B199" i="8"/>
  <c r="B198" i="8"/>
  <c r="B197" i="8"/>
  <c r="B196" i="8"/>
  <c r="B195" i="8"/>
  <c r="B194" i="8"/>
  <c r="B193" i="8"/>
  <c r="B190" i="8"/>
  <c r="B189" i="8"/>
  <c r="B188" i="8"/>
  <c r="B187" i="8"/>
  <c r="B186" i="8"/>
  <c r="B185" i="8"/>
  <c r="B184" i="8"/>
  <c r="B183" i="8"/>
  <c r="B182" i="8"/>
  <c r="B181" i="8"/>
  <c r="B178" i="8"/>
  <c r="N178" i="8" s="1"/>
  <c r="B177" i="8"/>
  <c r="M177" i="8" s="1"/>
  <c r="B176" i="8"/>
  <c r="B175" i="8"/>
  <c r="O175" i="8" s="1"/>
  <c r="B174" i="8"/>
  <c r="O174" i="8" s="1"/>
  <c r="B173" i="8"/>
  <c r="O173" i="8" s="1"/>
  <c r="B172" i="8"/>
  <c r="N172" i="8" s="1"/>
  <c r="B171" i="8"/>
  <c r="O171" i="8" s="1"/>
  <c r="B170" i="8"/>
  <c r="O170" i="8" s="1"/>
  <c r="B169" i="8"/>
  <c r="M169" i="8" s="1"/>
  <c r="B168" i="8"/>
  <c r="B167" i="8"/>
  <c r="M167" i="8" s="1"/>
  <c r="B166" i="8"/>
  <c r="M166" i="8" s="1"/>
  <c r="B165" i="8"/>
  <c r="N165" i="8" s="1"/>
  <c r="B164" i="8"/>
  <c r="O164" i="8" s="1"/>
  <c r="B163" i="8"/>
  <c r="O163" i="8" s="1"/>
  <c r="B162" i="8"/>
  <c r="N162" i="8" s="1"/>
  <c r="B161" i="8"/>
  <c r="N161" i="8" s="1"/>
  <c r="B160" i="8"/>
  <c r="O160" i="8" s="1"/>
  <c r="B157" i="8"/>
  <c r="B158" i="8" s="1"/>
  <c r="B154" i="8"/>
  <c r="M154" i="8" s="1"/>
  <c r="B153" i="8"/>
  <c r="B155" i="8" s="1"/>
  <c r="Q155" i="8" s="1"/>
  <c r="B150" i="8"/>
  <c r="B149" i="8"/>
  <c r="B147" i="8"/>
  <c r="B146" i="8"/>
  <c r="B145" i="8"/>
  <c r="B144" i="8"/>
  <c r="B140" i="8"/>
  <c r="B139" i="8"/>
  <c r="B138" i="8"/>
  <c r="B137" i="8"/>
  <c r="B136" i="8"/>
  <c r="N136" i="8" s="1"/>
  <c r="B135" i="8"/>
  <c r="B134" i="8"/>
  <c r="B133" i="8"/>
  <c r="B132" i="8"/>
  <c r="B131" i="8"/>
  <c r="B130" i="8"/>
  <c r="B129" i="8"/>
  <c r="B126" i="8"/>
  <c r="B125" i="8"/>
  <c r="O125" i="8" s="1"/>
  <c r="B124" i="8"/>
  <c r="M124" i="8" s="1"/>
  <c r="B123" i="8"/>
  <c r="B122" i="8"/>
  <c r="B121" i="8"/>
  <c r="B120" i="8"/>
  <c r="B119" i="8"/>
  <c r="B118" i="8"/>
  <c r="B117" i="8"/>
  <c r="B116" i="8"/>
  <c r="B115" i="8"/>
  <c r="B114" i="8"/>
  <c r="B107" i="8"/>
  <c r="B106" i="8"/>
  <c r="B105" i="8"/>
  <c r="B103" i="8"/>
  <c r="B100" i="8"/>
  <c r="B99" i="8"/>
  <c r="B98" i="8"/>
  <c r="B97" i="8"/>
  <c r="B96" i="8"/>
  <c r="B94" i="8"/>
  <c r="B92" i="8"/>
  <c r="B91" i="8"/>
  <c r="B87" i="8"/>
  <c r="N87" i="8" s="1"/>
  <c r="B86" i="8"/>
  <c r="O86" i="8" s="1"/>
  <c r="B85" i="8"/>
  <c r="B84" i="8"/>
  <c r="O84" i="8" s="1"/>
  <c r="B81" i="8"/>
  <c r="L81" i="8" s="1"/>
  <c r="B80" i="8"/>
  <c r="B79" i="8"/>
  <c r="L79" i="8" s="1"/>
  <c r="B78" i="8"/>
  <c r="L78" i="8" s="1"/>
  <c r="B77" i="8"/>
  <c r="N77" i="8" s="1"/>
  <c r="B76" i="8"/>
  <c r="N76" i="8" s="1"/>
  <c r="B75" i="8"/>
  <c r="O75" i="8" s="1"/>
  <c r="B74" i="8"/>
  <c r="B73" i="8"/>
  <c r="O73" i="8" s="1"/>
  <c r="B72" i="8"/>
  <c r="L72" i="8" s="1"/>
  <c r="B71" i="8"/>
  <c r="N71" i="8" s="1"/>
  <c r="B70" i="8"/>
  <c r="B69" i="8"/>
  <c r="N69" i="8" s="1"/>
  <c r="B68" i="8"/>
  <c r="N68" i="8" s="1"/>
  <c r="B67" i="8"/>
  <c r="M67" i="8" s="1"/>
  <c r="B66" i="8"/>
  <c r="N66" i="8" s="1"/>
  <c r="B65" i="8"/>
  <c r="N65" i="8" s="1"/>
  <c r="B64" i="8"/>
  <c r="B61" i="8"/>
  <c r="M61" i="8" s="1"/>
  <c r="B60" i="8"/>
  <c r="N60" i="8" s="1"/>
  <c r="B59" i="8"/>
  <c r="M59" i="8" s="1"/>
  <c r="B58" i="8"/>
  <c r="B57" i="8"/>
  <c r="M57" i="8" s="1"/>
  <c r="B56" i="8"/>
  <c r="B55" i="8"/>
  <c r="M55" i="8" s="1"/>
  <c r="B54" i="8"/>
  <c r="B53" i="8"/>
  <c r="M53" i="8" s="1"/>
  <c r="B52" i="8"/>
  <c r="N52" i="8" s="1"/>
  <c r="B51" i="8"/>
  <c r="B50" i="8"/>
  <c r="M50" i="8" s="1"/>
  <c r="B49" i="8"/>
  <c r="O49" i="8" s="1"/>
  <c r="B48" i="8"/>
  <c r="N48" i="8" s="1"/>
  <c r="B47" i="8"/>
  <c r="M47" i="8" s="1"/>
  <c r="B46" i="8"/>
  <c r="O46" i="8" s="1"/>
  <c r="B45" i="8"/>
  <c r="M45" i="8" s="1"/>
  <c r="B44" i="8"/>
  <c r="N44" i="8" s="1"/>
  <c r="B43" i="8"/>
  <c r="M43" i="8" s="1"/>
  <c r="B42" i="8"/>
  <c r="B41" i="8"/>
  <c r="B40" i="8"/>
  <c r="N40" i="8" s="1"/>
  <c r="B39" i="8"/>
  <c r="M39" i="8" s="1"/>
  <c r="B38" i="8"/>
  <c r="B37" i="8"/>
  <c r="M37" i="8" s="1"/>
  <c r="B36" i="8"/>
  <c r="B35" i="8"/>
  <c r="O38" i="8"/>
  <c r="N56" i="8"/>
  <c r="O42" i="8"/>
  <c r="K78" i="8"/>
  <c r="M41" i="8"/>
  <c r="M176" i="8"/>
  <c r="O167" i="8"/>
  <c r="M164" i="8"/>
  <c r="Q90" i="8"/>
  <c r="B29" i="8"/>
  <c r="B30" i="8" s="1"/>
  <c r="Q30" i="8" s="1"/>
  <c r="B26" i="8"/>
  <c r="M26" i="8" s="1"/>
  <c r="B25" i="8"/>
  <c r="B24" i="8"/>
  <c r="B21" i="8"/>
  <c r="O21" i="8" s="1"/>
  <c r="B20" i="8"/>
  <c r="O20" i="8" s="1"/>
  <c r="B19" i="8"/>
  <c r="O19" i="8" s="1"/>
  <c r="B18" i="8"/>
  <c r="B17" i="8"/>
  <c r="M17" i="8" s="1"/>
  <c r="B14" i="8"/>
  <c r="O14" i="8" s="1"/>
  <c r="B13" i="8"/>
  <c r="N13" i="8" s="1"/>
  <c r="B12" i="8"/>
  <c r="N12" i="8" s="1"/>
  <c r="B11" i="8"/>
  <c r="M11" i="8" s="1"/>
  <c r="B10" i="8"/>
  <c r="O10" i="8" s="1"/>
  <c r="B9" i="8"/>
  <c r="N9" i="8" s="1"/>
  <c r="B8" i="8"/>
  <c r="O8" i="8" s="1"/>
  <c r="Q192" i="8"/>
  <c r="Q180" i="8"/>
  <c r="O176" i="8"/>
  <c r="N176" i="8"/>
  <c r="M175" i="8"/>
  <c r="O172" i="8"/>
  <c r="O168" i="8"/>
  <c r="N166" i="8"/>
  <c r="M165" i="8"/>
  <c r="N164" i="8"/>
  <c r="M163" i="8"/>
  <c r="O162" i="8"/>
  <c r="O161" i="8"/>
  <c r="Q159" i="8"/>
  <c r="Q156" i="8"/>
  <c r="N154" i="8"/>
  <c r="Q152" i="8"/>
  <c r="Q142" i="8"/>
  <c r="N124" i="8"/>
  <c r="Q113" i="8"/>
  <c r="K86" i="8"/>
  <c r="N49" i="8"/>
  <c r="Q33" i="8"/>
  <c r="Q23" i="8"/>
  <c r="O12" i="8"/>
  <c r="M84" i="8" l="1"/>
  <c r="O136" i="8"/>
  <c r="M170" i="8"/>
  <c r="O154" i="8"/>
  <c r="O78" i="8"/>
  <c r="B141" i="8"/>
  <c r="Q141" i="8" s="1"/>
  <c r="B148" i="8"/>
  <c r="B151" i="8" s="1"/>
  <c r="Q151" i="8" s="1"/>
  <c r="N84" i="8"/>
  <c r="M87" i="8"/>
  <c r="M136" i="8"/>
  <c r="M173" i="8"/>
  <c r="O177" i="8"/>
  <c r="O87" i="8"/>
  <c r="M161" i="8"/>
  <c r="N169" i="8"/>
  <c r="O178" i="8"/>
  <c r="N78" i="8"/>
  <c r="N79" i="8"/>
  <c r="K79" i="8"/>
  <c r="M172" i="8"/>
  <c r="M79" i="8"/>
  <c r="M81" i="8"/>
  <c r="M49" i="8"/>
  <c r="O165" i="8"/>
  <c r="O169" i="8"/>
  <c r="N173" i="8"/>
  <c r="N177" i="8"/>
  <c r="B82" i="8"/>
  <c r="L80" i="8"/>
  <c r="O80" i="8"/>
  <c r="N168" i="8"/>
  <c r="M168" i="8"/>
  <c r="B200" i="8"/>
  <c r="Q200" i="8" s="1"/>
  <c r="N160" i="8"/>
  <c r="M160" i="8"/>
  <c r="K80" i="8"/>
  <c r="N86" i="8"/>
  <c r="B62" i="8"/>
  <c r="Q62" i="8" s="1"/>
  <c r="B191" i="8"/>
  <c r="Q191" i="8" s="1"/>
  <c r="B88" i="8"/>
  <c r="Q88" i="8" s="1"/>
  <c r="B112" i="8"/>
  <c r="Q112" i="8" s="1"/>
  <c r="B127" i="8"/>
  <c r="Q127" i="8" s="1"/>
  <c r="Q158" i="8"/>
  <c r="O124" i="8"/>
  <c r="O166" i="8"/>
  <c r="N170" i="8"/>
  <c r="M174" i="8"/>
  <c r="B179" i="8"/>
  <c r="Q179" i="8" s="1"/>
  <c r="M125" i="8"/>
  <c r="M162" i="8"/>
  <c r="N174" i="8"/>
  <c r="M178" i="8"/>
  <c r="M171" i="8"/>
  <c r="N80" i="8"/>
  <c r="M80" i="8"/>
  <c r="O64" i="8"/>
  <c r="N35" i="8"/>
  <c r="L86" i="8"/>
  <c r="O81" i="8"/>
  <c r="K81" i="8"/>
  <c r="M86" i="8"/>
  <c r="N81" i="8"/>
  <c r="M78" i="8"/>
  <c r="Q83" i="8"/>
  <c r="M36" i="8"/>
  <c r="O79" i="8"/>
  <c r="O26" i="8"/>
  <c r="N17" i="8"/>
  <c r="L8" i="8"/>
  <c r="M20" i="8"/>
  <c r="K9" i="8"/>
  <c r="K64" i="8"/>
  <c r="N72" i="8"/>
  <c r="O85" i="8"/>
  <c r="N85" i="8"/>
  <c r="M85" i="8"/>
  <c r="N125" i="8"/>
  <c r="N163" i="8"/>
  <c r="N167" i="8"/>
  <c r="N171" i="8"/>
  <c r="N175" i="8"/>
  <c r="K73" i="8"/>
  <c r="N26" i="8"/>
  <c r="L65" i="8"/>
  <c r="O9" i="8"/>
  <c r="K66" i="8"/>
  <c r="B27" i="8"/>
  <c r="Q27" i="8" s="1"/>
  <c r="F11" i="8"/>
  <c r="L11" i="8" s="1"/>
  <c r="L66" i="8"/>
  <c r="F12" i="8"/>
  <c r="L12" i="8" s="1"/>
  <c r="N64" i="8"/>
  <c r="O65" i="8"/>
  <c r="M66" i="8"/>
  <c r="K72" i="8"/>
  <c r="L73" i="8"/>
  <c r="O76" i="8"/>
  <c r="N11" i="8"/>
  <c r="F47" i="8"/>
  <c r="L47" i="8" s="1"/>
  <c r="M48" i="8"/>
  <c r="M56" i="8"/>
  <c r="K69" i="8"/>
  <c r="B22" i="8"/>
  <c r="Q22" i="8" s="1"/>
  <c r="K17" i="8"/>
  <c r="M21" i="8"/>
  <c r="H3" i="8"/>
  <c r="E61" i="8" s="1"/>
  <c r="K61" i="8" s="1"/>
  <c r="O11" i="8"/>
  <c r="L17" i="8"/>
  <c r="N21" i="8"/>
  <c r="O39" i="8"/>
  <c r="N47" i="8"/>
  <c r="F52" i="8"/>
  <c r="L52" i="8" s="1"/>
  <c r="N55" i="8"/>
  <c r="L69" i="8"/>
  <c r="O72" i="8"/>
  <c r="M73" i="8"/>
  <c r="K76" i="8"/>
  <c r="M77" i="8"/>
  <c r="O17" i="8"/>
  <c r="N36" i="8"/>
  <c r="F14" i="8"/>
  <c r="L14" i="8" s="1"/>
  <c r="F19" i="8"/>
  <c r="L19" i="8" s="1"/>
  <c r="M35" i="8"/>
  <c r="F43" i="8"/>
  <c r="L43" i="8" s="1"/>
  <c r="O47" i="8"/>
  <c r="O55" i="8"/>
  <c r="F60" i="8"/>
  <c r="L60" i="8" s="1"/>
  <c r="K65" i="8"/>
  <c r="O69" i="8"/>
  <c r="L76" i="8"/>
  <c r="M8" i="8"/>
  <c r="O35" i="8"/>
  <c r="M44" i="8"/>
  <c r="M71" i="8"/>
  <c r="K75" i="8"/>
  <c r="N8" i="8"/>
  <c r="M12" i="8"/>
  <c r="F13" i="8"/>
  <c r="L13" i="8" s="1"/>
  <c r="F21" i="8"/>
  <c r="L21" i="8" s="1"/>
  <c r="K35" i="8"/>
  <c r="F39" i="8"/>
  <c r="L39" i="8" s="1"/>
  <c r="M40" i="8"/>
  <c r="N43" i="8"/>
  <c r="M52" i="8"/>
  <c r="N59" i="8"/>
  <c r="M60" i="8"/>
  <c r="N75" i="8"/>
  <c r="F87" i="8"/>
  <c r="L87" i="8" s="1"/>
  <c r="F125" i="8"/>
  <c r="L125" i="8" s="1"/>
  <c r="K8" i="8"/>
  <c r="F10" i="8"/>
  <c r="L10" i="8" s="1"/>
  <c r="O13" i="8"/>
  <c r="F20" i="8"/>
  <c r="L20" i="8" s="1"/>
  <c r="L35" i="8"/>
  <c r="N39" i="8"/>
  <c r="O43" i="8"/>
  <c r="O59" i="8"/>
  <c r="O66" i="8"/>
  <c r="N20" i="8"/>
  <c r="L9" i="8"/>
  <c r="M9" i="8"/>
  <c r="M13" i="8"/>
  <c r="B15" i="8"/>
  <c r="M19" i="8"/>
  <c r="M10" i="8"/>
  <c r="M14" i="8"/>
  <c r="N19" i="8"/>
  <c r="N10" i="8"/>
  <c r="N14" i="8"/>
  <c r="L74" i="8"/>
  <c r="O74" i="8"/>
  <c r="K74" i="8"/>
  <c r="N54" i="8"/>
  <c r="M54" i="8"/>
  <c r="L70" i="8"/>
  <c r="O70" i="8"/>
  <c r="K70" i="8"/>
  <c r="K68" i="8"/>
  <c r="M70" i="8"/>
  <c r="M74" i="8"/>
  <c r="F178" i="8"/>
  <c r="L178" i="8" s="1"/>
  <c r="F177" i="8"/>
  <c r="L177" i="8" s="1"/>
  <c r="F176" i="8"/>
  <c r="L176" i="8" s="1"/>
  <c r="F175" i="8"/>
  <c r="L175" i="8" s="1"/>
  <c r="F174" i="8"/>
  <c r="L174" i="8" s="1"/>
  <c r="F173" i="8"/>
  <c r="L173" i="8" s="1"/>
  <c r="F172" i="8"/>
  <c r="L172" i="8" s="1"/>
  <c r="F171" i="8"/>
  <c r="L171" i="8" s="1"/>
  <c r="F170" i="8"/>
  <c r="L170" i="8" s="1"/>
  <c r="F169" i="8"/>
  <c r="L169" i="8" s="1"/>
  <c r="F168" i="8"/>
  <c r="L168" i="8" s="1"/>
  <c r="F167" i="8"/>
  <c r="L167" i="8" s="1"/>
  <c r="F166" i="8"/>
  <c r="L166" i="8" s="1"/>
  <c r="F165" i="8"/>
  <c r="L165" i="8" s="1"/>
  <c r="F164" i="8"/>
  <c r="L164" i="8" s="1"/>
  <c r="F163" i="8"/>
  <c r="L163" i="8" s="1"/>
  <c r="F162" i="8"/>
  <c r="L162" i="8" s="1"/>
  <c r="F161" i="8"/>
  <c r="L161" i="8" s="1"/>
  <c r="F160" i="8"/>
  <c r="L160" i="8" s="1"/>
  <c r="F154" i="8"/>
  <c r="L154" i="8" s="1"/>
  <c r="F136" i="8"/>
  <c r="L136" i="8" s="1"/>
  <c r="F124" i="8"/>
  <c r="L124" i="8" s="1"/>
  <c r="F84" i="8"/>
  <c r="L84" i="8" s="1"/>
  <c r="F58" i="8"/>
  <c r="L58" i="8" s="1"/>
  <c r="F54" i="8"/>
  <c r="L54" i="8" s="1"/>
  <c r="F51" i="8"/>
  <c r="L51" i="8" s="1"/>
  <c r="F46" i="8"/>
  <c r="L46" i="8" s="1"/>
  <c r="F42" i="8"/>
  <c r="L42" i="8" s="1"/>
  <c r="F38" i="8"/>
  <c r="L38" i="8" s="1"/>
  <c r="F61" i="8"/>
  <c r="L61" i="8" s="1"/>
  <c r="F57" i="8"/>
  <c r="L57" i="8" s="1"/>
  <c r="F53" i="8"/>
  <c r="L53" i="8" s="1"/>
  <c r="F50" i="8"/>
  <c r="L50" i="8" s="1"/>
  <c r="F45" i="8"/>
  <c r="L45" i="8" s="1"/>
  <c r="F41" i="8"/>
  <c r="L41" i="8" s="1"/>
  <c r="F37" i="8"/>
  <c r="L37" i="8" s="1"/>
  <c r="F26" i="8"/>
  <c r="L26" i="8" s="1"/>
  <c r="L36" i="8"/>
  <c r="O36" i="8"/>
  <c r="O37" i="8"/>
  <c r="N37" i="8"/>
  <c r="O41" i="8"/>
  <c r="N41" i="8"/>
  <c r="O45" i="8"/>
  <c r="N45" i="8"/>
  <c r="E48" i="8"/>
  <c r="K48" i="8" s="1"/>
  <c r="F55" i="8"/>
  <c r="L55" i="8" s="1"/>
  <c r="F59" i="8"/>
  <c r="L59" i="8" s="1"/>
  <c r="M64" i="8"/>
  <c r="L64" i="8"/>
  <c r="N70" i="8"/>
  <c r="N74" i="8"/>
  <c r="N51" i="8"/>
  <c r="M51" i="8"/>
  <c r="N58" i="8"/>
  <c r="M58" i="8"/>
  <c r="M68" i="8"/>
  <c r="L68" i="8"/>
  <c r="L67" i="8"/>
  <c r="O67" i="8"/>
  <c r="K67" i="8"/>
  <c r="K36" i="8"/>
  <c r="N38" i="8"/>
  <c r="M38" i="8"/>
  <c r="F40" i="8"/>
  <c r="L40" i="8" s="1"/>
  <c r="N42" i="8"/>
  <c r="M42" i="8"/>
  <c r="F44" i="8"/>
  <c r="L44" i="8" s="1"/>
  <c r="N46" i="8"/>
  <c r="M46" i="8"/>
  <c r="F48" i="8"/>
  <c r="F49" i="8"/>
  <c r="L49" i="8" s="1"/>
  <c r="O50" i="8"/>
  <c r="N50" i="8"/>
  <c r="O51" i="8"/>
  <c r="O53" i="8"/>
  <c r="N53" i="8"/>
  <c r="O54" i="8"/>
  <c r="O57" i="8"/>
  <c r="N57" i="8"/>
  <c r="O58" i="8"/>
  <c r="O61" i="8"/>
  <c r="N61" i="8"/>
  <c r="N67" i="8"/>
  <c r="O68" i="8"/>
  <c r="L71" i="8"/>
  <c r="O71" i="8"/>
  <c r="K71" i="8"/>
  <c r="M75" i="8"/>
  <c r="L75" i="8"/>
  <c r="L77" i="8"/>
  <c r="O77" i="8"/>
  <c r="K77" i="8"/>
  <c r="F85" i="8"/>
  <c r="L85" i="8" s="1"/>
  <c r="O40" i="8"/>
  <c r="O44" i="8"/>
  <c r="O48" i="8"/>
  <c r="O52" i="8"/>
  <c r="O56" i="8"/>
  <c r="O60" i="8"/>
  <c r="M65" i="8"/>
  <c r="M69" i="8"/>
  <c r="M72" i="8"/>
  <c r="N73" i="8"/>
  <c r="M76" i="8"/>
  <c r="L48" i="8"/>
  <c r="L56" i="8"/>
  <c r="E39" i="8" l="1"/>
  <c r="K39" i="8" s="1"/>
  <c r="B89" i="8"/>
  <c r="B202" i="8" s="1"/>
  <c r="Q8" i="8"/>
  <c r="Q17" i="8"/>
  <c r="E43" i="8"/>
  <c r="K43" i="8" s="1"/>
  <c r="E161" i="8"/>
  <c r="K161" i="8" s="1"/>
  <c r="Q161" i="8" s="1"/>
  <c r="E160" i="8"/>
  <c r="K160" i="8" s="1"/>
  <c r="E124" i="8"/>
  <c r="K124" i="8" s="1"/>
  <c r="E136" i="8"/>
  <c r="K136" i="8" s="1"/>
  <c r="Q136" i="8" s="1"/>
  <c r="E21" i="8"/>
  <c r="K21" i="8" s="1"/>
  <c r="Q21" i="8" s="1"/>
  <c r="E60" i="8"/>
  <c r="K60" i="8" s="1"/>
  <c r="Q60" i="8" s="1"/>
  <c r="E56" i="8"/>
  <c r="K56" i="8" s="1"/>
  <c r="E52" i="8"/>
  <c r="K52" i="8" s="1"/>
  <c r="Q52" i="8" s="1"/>
  <c r="E38" i="8"/>
  <c r="K38" i="8" s="1"/>
  <c r="E125" i="8"/>
  <c r="K125" i="8" s="1"/>
  <c r="E165" i="8"/>
  <c r="K165" i="8" s="1"/>
  <c r="Q165" i="8" s="1"/>
  <c r="E50" i="8"/>
  <c r="K50" i="8" s="1"/>
  <c r="E20" i="8"/>
  <c r="K20" i="8" s="1"/>
  <c r="E51" i="8"/>
  <c r="K51" i="8" s="1"/>
  <c r="Q51" i="8" s="1"/>
  <c r="E55" i="8"/>
  <c r="K55" i="8" s="1"/>
  <c r="Q55" i="8" s="1"/>
  <c r="E154" i="8"/>
  <c r="K154" i="8" s="1"/>
  <c r="E164" i="8"/>
  <c r="K164" i="8" s="1"/>
  <c r="Q164" i="8" s="1"/>
  <c r="E177" i="8"/>
  <c r="K177" i="8" s="1"/>
  <c r="Q177" i="8" s="1"/>
  <c r="E53" i="8"/>
  <c r="K53" i="8" s="1"/>
  <c r="Q53" i="8" s="1"/>
  <c r="E13" i="8"/>
  <c r="K13" i="8" s="1"/>
  <c r="Q13" i="8" s="1"/>
  <c r="E54" i="8"/>
  <c r="K54" i="8" s="1"/>
  <c r="Q54" i="8" s="1"/>
  <c r="E59" i="8"/>
  <c r="K59" i="8" s="1"/>
  <c r="Q59" i="8" s="1"/>
  <c r="E167" i="8"/>
  <c r="K167" i="8" s="1"/>
  <c r="E168" i="8"/>
  <c r="K168" i="8" s="1"/>
  <c r="Q168" i="8" s="1"/>
  <c r="E170" i="8"/>
  <c r="K170" i="8" s="1"/>
  <c r="Q170" i="8" s="1"/>
  <c r="E26" i="8"/>
  <c r="K26" i="8" s="1"/>
  <c r="Q26" i="8" s="1"/>
  <c r="Q73" i="8"/>
  <c r="Q72" i="8"/>
  <c r="E45" i="8"/>
  <c r="K45" i="8" s="1"/>
  <c r="Q45" i="8" s="1"/>
  <c r="E41" i="8"/>
  <c r="K41" i="8" s="1"/>
  <c r="Q41" i="8" s="1"/>
  <c r="E37" i="8"/>
  <c r="K37" i="8" s="1"/>
  <c r="Q37" i="8" s="1"/>
  <c r="E42" i="8"/>
  <c r="K42" i="8" s="1"/>
  <c r="Q42" i="8" s="1"/>
  <c r="E58" i="8"/>
  <c r="K58" i="8" s="1"/>
  <c r="Q58" i="8" s="1"/>
  <c r="E47" i="8"/>
  <c r="K47" i="8" s="1"/>
  <c r="Q47" i="8" s="1"/>
  <c r="E87" i="8"/>
  <c r="K87" i="8" s="1"/>
  <c r="Q87" i="8" s="1"/>
  <c r="E166" i="8"/>
  <c r="K166" i="8" s="1"/>
  <c r="E171" i="8"/>
  <c r="K171" i="8" s="1"/>
  <c r="Q171" i="8" s="1"/>
  <c r="E162" i="8"/>
  <c r="K162" i="8" s="1"/>
  <c r="Q162" i="8" s="1"/>
  <c r="E172" i="8"/>
  <c r="K172" i="8" s="1"/>
  <c r="Q172" i="8" s="1"/>
  <c r="E169" i="8"/>
  <c r="K169" i="8" s="1"/>
  <c r="Q169" i="8" s="1"/>
  <c r="E40" i="8"/>
  <c r="K40" i="8" s="1"/>
  <c r="Q40" i="8" s="1"/>
  <c r="E10" i="8"/>
  <c r="K10" i="8" s="1"/>
  <c r="E46" i="8"/>
  <c r="K46" i="8" s="1"/>
  <c r="E84" i="8"/>
  <c r="K84" i="8" s="1"/>
  <c r="E178" i="8"/>
  <c r="K178" i="8" s="1"/>
  <c r="Q178" i="8" s="1"/>
  <c r="E174" i="8"/>
  <c r="K174" i="8" s="1"/>
  <c r="E175" i="8"/>
  <c r="K175" i="8" s="1"/>
  <c r="Q175" i="8" s="1"/>
  <c r="E163" i="8"/>
  <c r="K163" i="8" s="1"/>
  <c r="Q163" i="8" s="1"/>
  <c r="E176" i="8"/>
  <c r="K176" i="8" s="1"/>
  <c r="Q176" i="8" s="1"/>
  <c r="E173" i="8"/>
  <c r="K173" i="8" s="1"/>
  <c r="Q173" i="8" s="1"/>
  <c r="E49" i="8"/>
  <c r="K49" i="8" s="1"/>
  <c r="E44" i="8"/>
  <c r="K44" i="8" s="1"/>
  <c r="Q44" i="8" s="1"/>
  <c r="E57" i="8"/>
  <c r="K57" i="8" s="1"/>
  <c r="Q57" i="8" s="1"/>
  <c r="Q39" i="8"/>
  <c r="Q65" i="8"/>
  <c r="B31" i="8"/>
  <c r="B32" i="8" s="1"/>
  <c r="Q66" i="8"/>
  <c r="Q48" i="8"/>
  <c r="Q64" i="8"/>
  <c r="Q74" i="8"/>
  <c r="Q15" i="8"/>
  <c r="Q67" i="8"/>
  <c r="Q9" i="8"/>
  <c r="Q35" i="8"/>
  <c r="E85" i="8"/>
  <c r="K85" i="8" s="1"/>
  <c r="E12" i="8"/>
  <c r="K12" i="8" s="1"/>
  <c r="Q12" i="8" s="1"/>
  <c r="E11" i="8"/>
  <c r="K11" i="8" s="1"/>
  <c r="E19" i="8"/>
  <c r="K19" i="8" s="1"/>
  <c r="E14" i="8"/>
  <c r="K14" i="8" s="1"/>
  <c r="Q14" i="8" s="1"/>
  <c r="M89" i="8"/>
  <c r="Q68" i="8"/>
  <c r="O89" i="8"/>
  <c r="N89" i="8"/>
  <c r="Q75" i="8"/>
  <c r="Q61" i="8"/>
  <c r="L89" i="8"/>
  <c r="Q82" i="8"/>
  <c r="Q36" i="8"/>
  <c r="Q166" i="8" l="1"/>
  <c r="Q154" i="8"/>
  <c r="Q20" i="8"/>
  <c r="Q38" i="8"/>
  <c r="Q11" i="8"/>
  <c r="Q174" i="8"/>
  <c r="Q10" i="8"/>
  <c r="Q125" i="8"/>
  <c r="Q56" i="8"/>
  <c r="Q124" i="8"/>
  <c r="Q160" i="8"/>
  <c r="Q19" i="8"/>
  <c r="Q43" i="8"/>
  <c r="Q49" i="8"/>
  <c r="Q46" i="8"/>
  <c r="Q167" i="8"/>
  <c r="Q50" i="8"/>
  <c r="B203" i="8"/>
  <c r="B204" i="8" s="1"/>
  <c r="Q31" i="8"/>
  <c r="K89" i="8"/>
  <c r="O3" i="8"/>
  <c r="I197" i="8" s="1"/>
  <c r="O197" i="8" s="1"/>
  <c r="M3" i="8"/>
  <c r="Q32" i="8"/>
  <c r="N3" i="8"/>
  <c r="L3" i="8"/>
  <c r="Q89" i="8" l="1"/>
  <c r="K3" i="8"/>
  <c r="E193" i="8" s="1"/>
  <c r="K193" i="8" s="1"/>
  <c r="I186" i="8"/>
  <c r="O186" i="8" s="1"/>
  <c r="I116" i="8"/>
  <c r="O116" i="8" s="1"/>
  <c r="I145" i="8"/>
  <c r="O145" i="8" s="1"/>
  <c r="I91" i="8"/>
  <c r="O91" i="8" s="1"/>
  <c r="I185" i="8"/>
  <c r="O185" i="8" s="1"/>
  <c r="I93" i="8"/>
  <c r="O93" i="8" s="1"/>
  <c r="I140" i="8"/>
  <c r="O140" i="8" s="1"/>
  <c r="I98" i="8"/>
  <c r="O98" i="8" s="1"/>
  <c r="I147" i="8"/>
  <c r="O147" i="8" s="1"/>
  <c r="I104" i="8"/>
  <c r="O104" i="8" s="1"/>
  <c r="I101" i="8"/>
  <c r="O101" i="8" s="1"/>
  <c r="I121" i="8"/>
  <c r="O121" i="8" s="1"/>
  <c r="I188" i="8"/>
  <c r="O188" i="8" s="1"/>
  <c r="I96" i="8"/>
  <c r="O96" i="8" s="1"/>
  <c r="I108" i="8"/>
  <c r="O108" i="8" s="1"/>
  <c r="I134" i="8"/>
  <c r="O134" i="8" s="1"/>
  <c r="I184" i="8"/>
  <c r="O184" i="8" s="1"/>
  <c r="I199" i="8"/>
  <c r="O199" i="8" s="1"/>
  <c r="I107" i="8"/>
  <c r="O107" i="8" s="1"/>
  <c r="I118" i="8"/>
  <c r="O118" i="8" s="1"/>
  <c r="I106" i="8"/>
  <c r="O106" i="8" s="1"/>
  <c r="I109" i="8"/>
  <c r="O109" i="8" s="1"/>
  <c r="I126" i="8"/>
  <c r="O126" i="8" s="1"/>
  <c r="I135" i="8"/>
  <c r="O135" i="8" s="1"/>
  <c r="I182" i="8"/>
  <c r="O182" i="8" s="1"/>
  <c r="I183" i="8"/>
  <c r="O183" i="8" s="1"/>
  <c r="I193" i="8"/>
  <c r="O193" i="8" s="1"/>
  <c r="I119" i="8"/>
  <c r="O119" i="8" s="1"/>
  <c r="I95" i="8"/>
  <c r="O95" i="8" s="1"/>
  <c r="I92" i="8"/>
  <c r="O92" i="8" s="1"/>
  <c r="I122" i="8"/>
  <c r="O122" i="8" s="1"/>
  <c r="I123" i="8"/>
  <c r="O123" i="8" s="1"/>
  <c r="I133" i="8"/>
  <c r="O133" i="8" s="1"/>
  <c r="I157" i="8"/>
  <c r="O157" i="8" s="1"/>
  <c r="I198" i="8"/>
  <c r="O198" i="8" s="1"/>
  <c r="I190" i="8"/>
  <c r="O190" i="8" s="1"/>
  <c r="I201" i="8"/>
  <c r="O201" i="8" s="1"/>
  <c r="I139" i="8"/>
  <c r="O139" i="8" s="1"/>
  <c r="I99" i="8"/>
  <c r="O99" i="8" s="1"/>
  <c r="I103" i="8"/>
  <c r="O103" i="8" s="1"/>
  <c r="I110" i="8"/>
  <c r="O110" i="8" s="1"/>
  <c r="I100" i="8"/>
  <c r="O100" i="8" s="1"/>
  <c r="I102" i="8"/>
  <c r="O102" i="8" s="1"/>
  <c r="I194" i="8"/>
  <c r="O194" i="8" s="1"/>
  <c r="I105" i="8"/>
  <c r="O105" i="8" s="1"/>
  <c r="I129" i="8"/>
  <c r="O129" i="8" s="1"/>
  <c r="I120" i="8"/>
  <c r="O120" i="8" s="1"/>
  <c r="I144" i="8"/>
  <c r="O144" i="8" s="1"/>
  <c r="I132" i="8"/>
  <c r="O132" i="8" s="1"/>
  <c r="I149" i="8"/>
  <c r="O149" i="8" s="1"/>
  <c r="I153" i="8"/>
  <c r="O153" i="8" s="1"/>
  <c r="I137" i="8"/>
  <c r="O137" i="8" s="1"/>
  <c r="I196" i="8"/>
  <c r="O196" i="8" s="1"/>
  <c r="I195" i="8"/>
  <c r="O195" i="8" s="1"/>
  <c r="I189" i="8"/>
  <c r="O189" i="8" s="1"/>
  <c r="I29" i="8"/>
  <c r="O29" i="8" s="1"/>
  <c r="I25" i="8"/>
  <c r="O25" i="8" s="1"/>
  <c r="I130" i="8"/>
  <c r="O130" i="8" s="1"/>
  <c r="I18" i="8"/>
  <c r="O18" i="8" s="1"/>
  <c r="I24" i="8"/>
  <c r="O24" i="8" s="1"/>
  <c r="I94" i="8"/>
  <c r="O94" i="8" s="1"/>
  <c r="I114" i="8"/>
  <c r="O114" i="8" s="1"/>
  <c r="I97" i="8"/>
  <c r="O97" i="8" s="1"/>
  <c r="I115" i="8"/>
  <c r="O115" i="8" s="1"/>
  <c r="I111" i="8"/>
  <c r="O111" i="8" s="1"/>
  <c r="I131" i="8"/>
  <c r="O131" i="8" s="1"/>
  <c r="I117" i="8"/>
  <c r="O117" i="8" s="1"/>
  <c r="I150" i="8"/>
  <c r="O150" i="8" s="1"/>
  <c r="I138" i="8"/>
  <c r="O138" i="8" s="1"/>
  <c r="I146" i="8"/>
  <c r="O146" i="8" s="1"/>
  <c r="I187" i="8"/>
  <c r="O187" i="8" s="1"/>
  <c r="I181" i="8"/>
  <c r="O181" i="8" s="1"/>
  <c r="F198" i="8"/>
  <c r="L198" i="8" s="1"/>
  <c r="F194" i="8"/>
  <c r="L194" i="8" s="1"/>
  <c r="F186" i="8"/>
  <c r="L186" i="8" s="1"/>
  <c r="F182" i="8"/>
  <c r="L182" i="8" s="1"/>
  <c r="F196" i="8"/>
  <c r="L196" i="8" s="1"/>
  <c r="F188" i="8"/>
  <c r="L188" i="8" s="1"/>
  <c r="F184" i="8"/>
  <c r="L184" i="8" s="1"/>
  <c r="F197" i="8"/>
  <c r="L197" i="8" s="1"/>
  <c r="F189" i="8"/>
  <c r="L189" i="8" s="1"/>
  <c r="F181" i="8"/>
  <c r="L181" i="8" s="1"/>
  <c r="F153" i="8"/>
  <c r="L153" i="8" s="1"/>
  <c r="F147" i="8"/>
  <c r="L147" i="8" s="1"/>
  <c r="F138" i="8"/>
  <c r="L138" i="8" s="1"/>
  <c r="F133" i="8"/>
  <c r="L133" i="8" s="1"/>
  <c r="F199" i="8"/>
  <c r="L199" i="8" s="1"/>
  <c r="F190" i="8"/>
  <c r="L190" i="8" s="1"/>
  <c r="F183" i="8"/>
  <c r="L183" i="8" s="1"/>
  <c r="F149" i="8"/>
  <c r="L149" i="8" s="1"/>
  <c r="F144" i="8"/>
  <c r="L144" i="8" s="1"/>
  <c r="F139" i="8"/>
  <c r="L139" i="8" s="1"/>
  <c r="F134" i="8"/>
  <c r="L134" i="8" s="1"/>
  <c r="F201" i="8"/>
  <c r="L201" i="8" s="1"/>
  <c r="F193" i="8"/>
  <c r="L193" i="8" s="1"/>
  <c r="F185" i="8"/>
  <c r="L185" i="8" s="1"/>
  <c r="F157" i="8"/>
  <c r="L157" i="8" s="1"/>
  <c r="F150" i="8"/>
  <c r="L150" i="8" s="1"/>
  <c r="F145" i="8"/>
  <c r="L145" i="8" s="1"/>
  <c r="F187" i="8"/>
  <c r="L187" i="8" s="1"/>
  <c r="F129" i="8"/>
  <c r="L129" i="8" s="1"/>
  <c r="F122" i="8"/>
  <c r="L122" i="8" s="1"/>
  <c r="F118" i="8"/>
  <c r="L118" i="8" s="1"/>
  <c r="F114" i="8"/>
  <c r="L114" i="8" s="1"/>
  <c r="F109" i="8"/>
  <c r="L109" i="8" s="1"/>
  <c r="F137" i="8"/>
  <c r="L137" i="8" s="1"/>
  <c r="F132" i="8"/>
  <c r="L132" i="8" s="1"/>
  <c r="F121" i="8"/>
  <c r="L121" i="8" s="1"/>
  <c r="F117" i="8"/>
  <c r="L117" i="8" s="1"/>
  <c r="F195" i="8"/>
  <c r="L195" i="8" s="1"/>
  <c r="F146" i="8"/>
  <c r="L146" i="8" s="1"/>
  <c r="F130" i="8"/>
  <c r="L130" i="8" s="1"/>
  <c r="F116" i="8"/>
  <c r="L116" i="8" s="1"/>
  <c r="F110" i="8"/>
  <c r="L110" i="8" s="1"/>
  <c r="F106" i="8"/>
  <c r="L106" i="8" s="1"/>
  <c r="F102" i="8"/>
  <c r="L102" i="8" s="1"/>
  <c r="F98" i="8"/>
  <c r="L98" i="8" s="1"/>
  <c r="F94" i="8"/>
  <c r="L94" i="8" s="1"/>
  <c r="F140" i="8"/>
  <c r="L140" i="8" s="1"/>
  <c r="F123" i="8"/>
  <c r="L123" i="8" s="1"/>
  <c r="F115" i="8"/>
  <c r="L115" i="8" s="1"/>
  <c r="F107" i="8"/>
  <c r="L107" i="8" s="1"/>
  <c r="F103" i="8"/>
  <c r="L103" i="8" s="1"/>
  <c r="F99" i="8"/>
  <c r="L99" i="8" s="1"/>
  <c r="F95" i="8"/>
  <c r="L95" i="8" s="1"/>
  <c r="F91" i="8"/>
  <c r="L91" i="8" s="1"/>
  <c r="F119" i="8"/>
  <c r="L119" i="8" s="1"/>
  <c r="F111" i="8"/>
  <c r="L111" i="8" s="1"/>
  <c r="F101" i="8"/>
  <c r="L101" i="8" s="1"/>
  <c r="F93" i="8"/>
  <c r="L93" i="8" s="1"/>
  <c r="F25" i="8"/>
  <c r="L25" i="8" s="1"/>
  <c r="F135" i="8"/>
  <c r="L135" i="8" s="1"/>
  <c r="F97" i="8"/>
  <c r="L97" i="8" s="1"/>
  <c r="F104" i="8"/>
  <c r="L104" i="8" s="1"/>
  <c r="F126" i="8"/>
  <c r="L126" i="8" s="1"/>
  <c r="F120" i="8"/>
  <c r="L120" i="8" s="1"/>
  <c r="F108" i="8"/>
  <c r="L108" i="8" s="1"/>
  <c r="F100" i="8"/>
  <c r="L100" i="8" s="1"/>
  <c r="F92" i="8"/>
  <c r="L92" i="8" s="1"/>
  <c r="F18" i="8"/>
  <c r="L18" i="8" s="1"/>
  <c r="F105" i="8"/>
  <c r="L105" i="8" s="1"/>
  <c r="F29" i="8"/>
  <c r="L29" i="8" s="1"/>
  <c r="F131" i="8"/>
  <c r="L131" i="8" s="1"/>
  <c r="F96" i="8"/>
  <c r="L96" i="8" s="1"/>
  <c r="F24" i="8"/>
  <c r="L24" i="8" s="1"/>
  <c r="H196" i="8"/>
  <c r="N196" i="8" s="1"/>
  <c r="H188" i="8"/>
  <c r="N188" i="8" s="1"/>
  <c r="H184" i="8"/>
  <c r="N184" i="8" s="1"/>
  <c r="H198" i="8"/>
  <c r="N198" i="8" s="1"/>
  <c r="H194" i="8"/>
  <c r="N194" i="8" s="1"/>
  <c r="H186" i="8"/>
  <c r="N186" i="8" s="1"/>
  <c r="H182" i="8"/>
  <c r="N182" i="8" s="1"/>
  <c r="H199" i="8"/>
  <c r="N199" i="8" s="1"/>
  <c r="H190" i="8"/>
  <c r="N190" i="8" s="1"/>
  <c r="H183" i="8"/>
  <c r="N183" i="8" s="1"/>
  <c r="H157" i="8"/>
  <c r="N157" i="8" s="1"/>
  <c r="H150" i="8"/>
  <c r="N150" i="8" s="1"/>
  <c r="H145" i="8"/>
  <c r="N145" i="8" s="1"/>
  <c r="H135" i="8"/>
  <c r="N135" i="8" s="1"/>
  <c r="H201" i="8"/>
  <c r="N201" i="8" s="1"/>
  <c r="H193" i="8"/>
  <c r="N193" i="8" s="1"/>
  <c r="H185" i="8"/>
  <c r="N185" i="8" s="1"/>
  <c r="H146" i="8"/>
  <c r="N146" i="8" s="1"/>
  <c r="H140" i="8"/>
  <c r="N140" i="8" s="1"/>
  <c r="H137" i="8"/>
  <c r="N137" i="8" s="1"/>
  <c r="H195" i="8"/>
  <c r="N195" i="8" s="1"/>
  <c r="H187" i="8"/>
  <c r="N187" i="8" s="1"/>
  <c r="H153" i="8"/>
  <c r="N153" i="8" s="1"/>
  <c r="H147" i="8"/>
  <c r="N147" i="8" s="1"/>
  <c r="H181" i="8"/>
  <c r="N181" i="8" s="1"/>
  <c r="H144" i="8"/>
  <c r="N144" i="8" s="1"/>
  <c r="H138" i="8"/>
  <c r="N138" i="8" s="1"/>
  <c r="H133" i="8"/>
  <c r="N133" i="8" s="1"/>
  <c r="H131" i="8"/>
  <c r="N131" i="8" s="1"/>
  <c r="H126" i="8"/>
  <c r="N126" i="8" s="1"/>
  <c r="H120" i="8"/>
  <c r="N120" i="8" s="1"/>
  <c r="H116" i="8"/>
  <c r="N116" i="8" s="1"/>
  <c r="H111" i="8"/>
  <c r="N111" i="8" s="1"/>
  <c r="H149" i="8"/>
  <c r="N149" i="8" s="1"/>
  <c r="H139" i="8"/>
  <c r="N139" i="8" s="1"/>
  <c r="H130" i="8"/>
  <c r="N130" i="8" s="1"/>
  <c r="H123" i="8"/>
  <c r="N123" i="8" s="1"/>
  <c r="H119" i="8"/>
  <c r="N119" i="8" s="1"/>
  <c r="H115" i="8"/>
  <c r="N115" i="8" s="1"/>
  <c r="H110" i="8"/>
  <c r="N110" i="8" s="1"/>
  <c r="H132" i="8"/>
  <c r="N132" i="8" s="1"/>
  <c r="H118" i="8"/>
  <c r="N118" i="8" s="1"/>
  <c r="H108" i="8"/>
  <c r="N108" i="8" s="1"/>
  <c r="H104" i="8"/>
  <c r="N104" i="8" s="1"/>
  <c r="H100" i="8"/>
  <c r="N100" i="8" s="1"/>
  <c r="H96" i="8"/>
  <c r="N96" i="8" s="1"/>
  <c r="H92" i="8"/>
  <c r="N92" i="8" s="1"/>
  <c r="H189" i="8"/>
  <c r="N189" i="8" s="1"/>
  <c r="H134" i="8"/>
  <c r="N134" i="8" s="1"/>
  <c r="H129" i="8"/>
  <c r="N129" i="8" s="1"/>
  <c r="H117" i="8"/>
  <c r="N117" i="8" s="1"/>
  <c r="H109" i="8"/>
  <c r="N109" i="8" s="1"/>
  <c r="H105" i="8"/>
  <c r="N105" i="8" s="1"/>
  <c r="H101" i="8"/>
  <c r="N101" i="8" s="1"/>
  <c r="H97" i="8"/>
  <c r="N97" i="8" s="1"/>
  <c r="H93" i="8"/>
  <c r="N93" i="8" s="1"/>
  <c r="H103" i="8"/>
  <c r="N103" i="8" s="1"/>
  <c r="H95" i="8"/>
  <c r="N95" i="8" s="1"/>
  <c r="H29" i="8"/>
  <c r="N29" i="8" s="1"/>
  <c r="H121" i="8"/>
  <c r="N121" i="8" s="1"/>
  <c r="H107" i="8"/>
  <c r="N107" i="8" s="1"/>
  <c r="H106" i="8"/>
  <c r="N106" i="8" s="1"/>
  <c r="H114" i="8"/>
  <c r="N114" i="8" s="1"/>
  <c r="H102" i="8"/>
  <c r="N102" i="8" s="1"/>
  <c r="H94" i="8"/>
  <c r="N94" i="8" s="1"/>
  <c r="H24" i="8"/>
  <c r="N24" i="8" s="1"/>
  <c r="H99" i="8"/>
  <c r="N99" i="8" s="1"/>
  <c r="H91" i="8"/>
  <c r="N91" i="8" s="1"/>
  <c r="H25" i="8"/>
  <c r="N25" i="8" s="1"/>
  <c r="H197" i="8"/>
  <c r="N197" i="8" s="1"/>
  <c r="H122" i="8"/>
  <c r="N122" i="8" s="1"/>
  <c r="H98" i="8"/>
  <c r="N98" i="8" s="1"/>
  <c r="H18" i="8"/>
  <c r="N18" i="8" s="1"/>
  <c r="G199" i="8"/>
  <c r="M199" i="8" s="1"/>
  <c r="G195" i="8"/>
  <c r="M195" i="8" s="1"/>
  <c r="G190" i="8"/>
  <c r="M190" i="8" s="1"/>
  <c r="G187" i="8"/>
  <c r="M187" i="8" s="1"/>
  <c r="G183" i="8"/>
  <c r="M183" i="8" s="1"/>
  <c r="G201" i="8"/>
  <c r="M201" i="8" s="1"/>
  <c r="G197" i="8"/>
  <c r="M197" i="8" s="1"/>
  <c r="G193" i="8"/>
  <c r="M193" i="8" s="1"/>
  <c r="G189" i="8"/>
  <c r="M189" i="8" s="1"/>
  <c r="G185" i="8"/>
  <c r="M185" i="8" s="1"/>
  <c r="G181" i="8"/>
  <c r="M181" i="8" s="1"/>
  <c r="G194" i="8"/>
  <c r="M194" i="8" s="1"/>
  <c r="G186" i="8"/>
  <c r="M186" i="8" s="1"/>
  <c r="G149" i="8"/>
  <c r="M149" i="8" s="1"/>
  <c r="G144" i="8"/>
  <c r="M144" i="8" s="1"/>
  <c r="G139" i="8"/>
  <c r="M139" i="8" s="1"/>
  <c r="G134" i="8"/>
  <c r="M134" i="8" s="1"/>
  <c r="G196" i="8"/>
  <c r="M196" i="8" s="1"/>
  <c r="G188" i="8"/>
  <c r="M188" i="8" s="1"/>
  <c r="G157" i="8"/>
  <c r="M157" i="8" s="1"/>
  <c r="G150" i="8"/>
  <c r="M150" i="8" s="1"/>
  <c r="G145" i="8"/>
  <c r="M145" i="8" s="1"/>
  <c r="G135" i="8"/>
  <c r="M135" i="8" s="1"/>
  <c r="G198" i="8"/>
  <c r="M198" i="8" s="1"/>
  <c r="G182" i="8"/>
  <c r="M182" i="8" s="1"/>
  <c r="G146" i="8"/>
  <c r="M146" i="8" s="1"/>
  <c r="G184" i="8"/>
  <c r="M184" i="8" s="1"/>
  <c r="G140" i="8"/>
  <c r="M140" i="8" s="1"/>
  <c r="G130" i="8"/>
  <c r="M130" i="8" s="1"/>
  <c r="G123" i="8"/>
  <c r="M123" i="8" s="1"/>
  <c r="G119" i="8"/>
  <c r="M119" i="8" s="1"/>
  <c r="G115" i="8"/>
  <c r="M115" i="8" s="1"/>
  <c r="G110" i="8"/>
  <c r="M110" i="8" s="1"/>
  <c r="G153" i="8"/>
  <c r="M153" i="8" s="1"/>
  <c r="G129" i="8"/>
  <c r="M129" i="8" s="1"/>
  <c r="G122" i="8"/>
  <c r="M122" i="8" s="1"/>
  <c r="G118" i="8"/>
  <c r="M118" i="8" s="1"/>
  <c r="G114" i="8"/>
  <c r="M114" i="8" s="1"/>
  <c r="G109" i="8"/>
  <c r="M109" i="8" s="1"/>
  <c r="G137" i="8"/>
  <c r="M137" i="8" s="1"/>
  <c r="G133" i="8"/>
  <c r="M133" i="8" s="1"/>
  <c r="G121" i="8"/>
  <c r="M121" i="8" s="1"/>
  <c r="G107" i="8"/>
  <c r="M107" i="8" s="1"/>
  <c r="G103" i="8"/>
  <c r="M103" i="8" s="1"/>
  <c r="G99" i="8"/>
  <c r="M99" i="8" s="1"/>
  <c r="G95" i="8"/>
  <c r="M95" i="8" s="1"/>
  <c r="G91" i="8"/>
  <c r="M91" i="8" s="1"/>
  <c r="G138" i="8"/>
  <c r="M138" i="8" s="1"/>
  <c r="G132" i="8"/>
  <c r="M132" i="8" s="1"/>
  <c r="G126" i="8"/>
  <c r="M126" i="8" s="1"/>
  <c r="G120" i="8"/>
  <c r="M120" i="8" s="1"/>
  <c r="G108" i="8"/>
  <c r="M108" i="8" s="1"/>
  <c r="G104" i="8"/>
  <c r="M104" i="8" s="1"/>
  <c r="G100" i="8"/>
  <c r="M100" i="8" s="1"/>
  <c r="G96" i="8"/>
  <c r="M96" i="8" s="1"/>
  <c r="G92" i="8"/>
  <c r="M92" i="8" s="1"/>
  <c r="G116" i="8"/>
  <c r="M116" i="8" s="1"/>
  <c r="G106" i="8"/>
  <c r="M106" i="8" s="1"/>
  <c r="G98" i="8"/>
  <c r="M98" i="8" s="1"/>
  <c r="G18" i="8"/>
  <c r="M18" i="8" s="1"/>
  <c r="G131" i="8"/>
  <c r="M131" i="8" s="1"/>
  <c r="G94" i="8"/>
  <c r="M94" i="8" s="1"/>
  <c r="G24" i="8"/>
  <c r="M24" i="8" s="1"/>
  <c r="G93" i="8"/>
  <c r="M93" i="8" s="1"/>
  <c r="G117" i="8"/>
  <c r="M117" i="8" s="1"/>
  <c r="G105" i="8"/>
  <c r="M105" i="8" s="1"/>
  <c r="G97" i="8"/>
  <c r="M97" i="8" s="1"/>
  <c r="G29" i="8"/>
  <c r="M29" i="8" s="1"/>
  <c r="G102" i="8"/>
  <c r="M102" i="8" s="1"/>
  <c r="G147" i="8"/>
  <c r="M147" i="8" s="1"/>
  <c r="G111" i="8"/>
  <c r="M111" i="8" s="1"/>
  <c r="G101" i="8"/>
  <c r="M101" i="8" s="1"/>
  <c r="G25" i="8"/>
  <c r="M25" i="8" s="1"/>
  <c r="N202" i="8" l="1"/>
  <c r="O202" i="8"/>
  <c r="E188" i="8"/>
  <c r="K188" i="8" s="1"/>
  <c r="M202" i="8"/>
  <c r="L202" i="8"/>
  <c r="E107" i="8"/>
  <c r="K107" i="8" s="1"/>
  <c r="E181" i="8"/>
  <c r="K181" i="8" s="1"/>
  <c r="E104" i="8"/>
  <c r="K104" i="8" s="1"/>
  <c r="Q104" i="8" s="1"/>
  <c r="E119" i="8"/>
  <c r="K119" i="8" s="1"/>
  <c r="E95" i="8"/>
  <c r="K95" i="8" s="1"/>
  <c r="Q95" i="8" s="1"/>
  <c r="E98" i="8"/>
  <c r="K98" i="8" s="1"/>
  <c r="Q98" i="8" s="1"/>
  <c r="E116" i="8"/>
  <c r="K116" i="8" s="1"/>
  <c r="Q116" i="8" s="1"/>
  <c r="E153" i="8"/>
  <c r="K153" i="8" s="1"/>
  <c r="E197" i="8"/>
  <c r="K197" i="8" s="1"/>
  <c r="Q197" i="8" s="1"/>
  <c r="E99" i="8"/>
  <c r="K99" i="8" s="1"/>
  <c r="Q99" i="8" s="1"/>
  <c r="E118" i="8"/>
  <c r="K118" i="8" s="1"/>
  <c r="Q118" i="8" s="1"/>
  <c r="E134" i="8"/>
  <c r="K134" i="8" s="1"/>
  <c r="Q134" i="8" s="1"/>
  <c r="E140" i="8"/>
  <c r="K140" i="8" s="1"/>
  <c r="E114" i="8"/>
  <c r="K114" i="8" s="1"/>
  <c r="E93" i="8"/>
  <c r="K93" i="8" s="1"/>
  <c r="Q93" i="8" s="1"/>
  <c r="E132" i="8"/>
  <c r="K132" i="8" s="1"/>
  <c r="E187" i="8"/>
  <c r="K187" i="8" s="1"/>
  <c r="E29" i="8"/>
  <c r="K29" i="8" s="1"/>
  <c r="E135" i="8"/>
  <c r="K135" i="8" s="1"/>
  <c r="Q135" i="8" s="1"/>
  <c r="E103" i="8"/>
  <c r="K103" i="8" s="1"/>
  <c r="Q103" i="8" s="1"/>
  <c r="E92" i="8"/>
  <c r="K92" i="8" s="1"/>
  <c r="Q92" i="8" s="1"/>
  <c r="E198" i="8"/>
  <c r="K198" i="8" s="1"/>
  <c r="Q198" i="8" s="1"/>
  <c r="E122" i="8"/>
  <c r="K122" i="8" s="1"/>
  <c r="Q122" i="8" s="1"/>
  <c r="E102" i="8"/>
  <c r="K102" i="8" s="1"/>
  <c r="Q102" i="8" s="1"/>
  <c r="E130" i="8"/>
  <c r="K130" i="8" s="1"/>
  <c r="E97" i="8"/>
  <c r="K97" i="8" s="1"/>
  <c r="Q97" i="8" s="1"/>
  <c r="E144" i="8"/>
  <c r="K144" i="8" s="1"/>
  <c r="Q144" i="8" s="1"/>
  <c r="E120" i="8"/>
  <c r="K120" i="8" s="1"/>
  <c r="Q120" i="8" s="1"/>
  <c r="E182" i="8"/>
  <c r="K182" i="8" s="1"/>
  <c r="Q182" i="8" s="1"/>
  <c r="E139" i="8"/>
  <c r="K139" i="8" s="1"/>
  <c r="Q139" i="8" s="1"/>
  <c r="E196" i="8"/>
  <c r="K196" i="8" s="1"/>
  <c r="Q196" i="8" s="1"/>
  <c r="E186" i="8"/>
  <c r="K186" i="8" s="1"/>
  <c r="Q186" i="8" s="1"/>
  <c r="E146" i="8"/>
  <c r="K146" i="8" s="1"/>
  <c r="Q146" i="8" s="1"/>
  <c r="E190" i="8"/>
  <c r="K190" i="8" s="1"/>
  <c r="Q190" i="8" s="1"/>
  <c r="E185" i="8"/>
  <c r="K185" i="8" s="1"/>
  <c r="Q185" i="8" s="1"/>
  <c r="E201" i="8"/>
  <c r="K201" i="8" s="1"/>
  <c r="E115" i="8"/>
  <c r="K115" i="8" s="1"/>
  <c r="Q115" i="8" s="1"/>
  <c r="E18" i="8"/>
  <c r="K18" i="8" s="1"/>
  <c r="E109" i="8"/>
  <c r="K109" i="8" s="1"/>
  <c r="Q109" i="8" s="1"/>
  <c r="E100" i="8"/>
  <c r="K100" i="8" s="1"/>
  <c r="Q100" i="8" s="1"/>
  <c r="E24" i="8"/>
  <c r="K24" i="8" s="1"/>
  <c r="E129" i="8"/>
  <c r="K129" i="8" s="1"/>
  <c r="E106" i="8"/>
  <c r="K106" i="8" s="1"/>
  <c r="Q106" i="8" s="1"/>
  <c r="E133" i="8"/>
  <c r="K133" i="8" s="1"/>
  <c r="Q133" i="8" s="1"/>
  <c r="E101" i="8"/>
  <c r="K101" i="8" s="1"/>
  <c r="Q101" i="8" s="1"/>
  <c r="E150" i="8"/>
  <c r="K150" i="8" s="1"/>
  <c r="E126" i="8"/>
  <c r="K126" i="8" s="1"/>
  <c r="E117" i="8"/>
  <c r="K117" i="8" s="1"/>
  <c r="Q117" i="8" s="1"/>
  <c r="E145" i="8"/>
  <c r="K145" i="8" s="1"/>
  <c r="Q145" i="8" s="1"/>
  <c r="E138" i="8"/>
  <c r="K138" i="8" s="1"/>
  <c r="Q138" i="8" s="1"/>
  <c r="E194" i="8"/>
  <c r="K194" i="8" s="1"/>
  <c r="Q194" i="8" s="1"/>
  <c r="E184" i="8"/>
  <c r="K184" i="8" s="1"/>
  <c r="Q184" i="8" s="1"/>
  <c r="E195" i="8"/>
  <c r="K195" i="8" s="1"/>
  <c r="E189" i="8"/>
  <c r="K189" i="8" s="1"/>
  <c r="Q189" i="8" s="1"/>
  <c r="E91" i="8"/>
  <c r="K91" i="8" s="1"/>
  <c r="E25" i="8"/>
  <c r="K25" i="8" s="1"/>
  <c r="Q25" i="8" s="1"/>
  <c r="E123" i="8"/>
  <c r="K123" i="8" s="1"/>
  <c r="Q123" i="8" s="1"/>
  <c r="E108" i="8"/>
  <c r="K108" i="8" s="1"/>
  <c r="Q108" i="8" s="1"/>
  <c r="E96" i="8"/>
  <c r="K96" i="8" s="1"/>
  <c r="E94" i="8"/>
  <c r="K94" i="8" s="1"/>
  <c r="Q94" i="8" s="1"/>
  <c r="E110" i="8"/>
  <c r="K110" i="8" s="1"/>
  <c r="Q110" i="8" s="1"/>
  <c r="E157" i="8"/>
  <c r="K157" i="8" s="1"/>
  <c r="E105" i="8"/>
  <c r="K105" i="8" s="1"/>
  <c r="Q105" i="8" s="1"/>
  <c r="E111" i="8"/>
  <c r="K111" i="8" s="1"/>
  <c r="Q111" i="8" s="1"/>
  <c r="E131" i="8"/>
  <c r="K131" i="8" s="1"/>
  <c r="E121" i="8"/>
  <c r="K121" i="8" s="1"/>
  <c r="E149" i="8"/>
  <c r="K149" i="8" s="1"/>
  <c r="Q149" i="8" s="1"/>
  <c r="E147" i="8"/>
  <c r="K147" i="8" s="1"/>
  <c r="Q147" i="8" s="1"/>
  <c r="E137" i="8"/>
  <c r="K137" i="8" s="1"/>
  <c r="Q137" i="8" s="1"/>
  <c r="E183" i="8"/>
  <c r="K183" i="8" s="1"/>
  <c r="E199" i="8"/>
  <c r="K199" i="8" s="1"/>
  <c r="Q199" i="8" s="1"/>
  <c r="Q188" i="8"/>
  <c r="Q107" i="8"/>
  <c r="Q114" i="8"/>
  <c r="Q193" i="8"/>
  <c r="Q91" i="8" l="1"/>
  <c r="K202" i="8"/>
  <c r="Q96" i="8"/>
  <c r="Q126" i="8"/>
  <c r="Q183" i="8"/>
  <c r="Q121" i="8"/>
  <c r="Q157" i="8"/>
  <c r="Q150" i="8"/>
  <c r="Q129" i="8"/>
  <c r="Q18" i="8"/>
  <c r="Q29" i="8"/>
  <c r="Q181" i="8"/>
  <c r="Q131" i="8"/>
  <c r="Q195" i="8"/>
  <c r="Q24" i="8"/>
  <c r="Q130" i="8"/>
  <c r="Q187" i="8"/>
  <c r="Q140" i="8"/>
  <c r="Q201" i="8"/>
  <c r="Q132" i="8"/>
  <c r="Q153" i="8"/>
  <c r="Q119" i="8"/>
  <c r="K151" i="7"/>
  <c r="K152" i="7"/>
  <c r="K153" i="7"/>
  <c r="K154" i="7"/>
  <c r="J155" i="7"/>
  <c r="J10" i="7" s="1"/>
  <c r="I155" i="7"/>
  <c r="I159" i="7" s="1"/>
  <c r="E154" i="7"/>
  <c r="E153" i="7"/>
  <c r="E152" i="7"/>
  <c r="E151" i="7"/>
  <c r="E150" i="7"/>
  <c r="G65" i="7"/>
  <c r="G76" i="7"/>
  <c r="G84" i="7"/>
  <c r="Q24" i="7"/>
  <c r="U24" i="7" s="1"/>
  <c r="R24" i="7"/>
  <c r="S24" i="7"/>
  <c r="T24" i="7"/>
  <c r="N11" i="7"/>
  <c r="N10" i="7"/>
  <c r="K155" i="7"/>
  <c r="K159" i="7" s="1"/>
  <c r="K157" i="7" l="1"/>
  <c r="J157" i="7"/>
  <c r="I157" i="7"/>
  <c r="I10" i="7"/>
  <c r="J159" i="7"/>
  <c r="G86" i="7"/>
  <c r="J136" i="7" l="1"/>
  <c r="M113" i="7"/>
  <c r="K111" i="7"/>
  <c r="K60" i="7"/>
  <c r="K81" i="7"/>
  <c r="J80" i="7"/>
  <c r="K126" i="7"/>
  <c r="L26" i="7"/>
  <c r="K102" i="7"/>
  <c r="K122" i="7"/>
  <c r="L114" i="7"/>
  <c r="L72" i="7"/>
  <c r="J48" i="7"/>
  <c r="J113" i="7"/>
  <c r="L41" i="7"/>
  <c r="M125" i="7"/>
  <c r="M117" i="7"/>
  <c r="L98" i="7"/>
  <c r="M104" i="7"/>
  <c r="K39" i="7"/>
  <c r="L35" i="7"/>
  <c r="M102" i="7"/>
  <c r="K134" i="7"/>
  <c r="L70" i="7"/>
  <c r="L105" i="7"/>
  <c r="K69" i="7"/>
  <c r="K123" i="7"/>
  <c r="L111" i="7"/>
  <c r="L39" i="7"/>
  <c r="M82" i="7"/>
  <c r="K121" i="7"/>
  <c r="J40" i="7"/>
  <c r="K99" i="7"/>
  <c r="K72" i="7"/>
  <c r="K64" i="7"/>
  <c r="J102" i="7"/>
  <c r="J21" i="7"/>
  <c r="M105" i="7"/>
  <c r="L48" i="7"/>
  <c r="K40" i="7"/>
  <c r="J124" i="7"/>
  <c r="J47" i="7"/>
  <c r="L138" i="7"/>
  <c r="L21" i="7"/>
  <c r="K49" i="7"/>
  <c r="M120" i="7"/>
  <c r="J82" i="7"/>
  <c r="M115" i="7"/>
  <c r="L82" i="7"/>
  <c r="L136" i="7"/>
  <c r="J41" i="7"/>
  <c r="K100" i="7"/>
  <c r="J36" i="7"/>
  <c r="L64" i="7"/>
  <c r="L47" i="7"/>
  <c r="L37" i="7"/>
  <c r="M51" i="7"/>
  <c r="L63" i="7"/>
  <c r="K46" i="7"/>
  <c r="M136" i="7"/>
  <c r="K63" i="7"/>
  <c r="J121" i="7"/>
  <c r="L117" i="7"/>
  <c r="J101" i="7"/>
  <c r="M21" i="7"/>
  <c r="K74" i="7"/>
  <c r="M64" i="7"/>
  <c r="J123" i="7"/>
  <c r="M80" i="7"/>
  <c r="K20" i="7"/>
  <c r="M63" i="7"/>
  <c r="M133" i="7"/>
  <c r="J104" i="7"/>
  <c r="M30" i="7"/>
  <c r="J127" i="7"/>
  <c r="K29" i="7"/>
  <c r="M141" i="7"/>
  <c r="M35" i="7"/>
  <c r="K103" i="7"/>
  <c r="J116" i="7"/>
  <c r="M118" i="7"/>
  <c r="J118" i="7"/>
  <c r="M71" i="7"/>
  <c r="M142" i="7"/>
  <c r="M124" i="7"/>
  <c r="M135" i="7"/>
  <c r="L120" i="7"/>
  <c r="K117" i="7"/>
  <c r="J90" i="7"/>
  <c r="M121" i="7"/>
  <c r="L20" i="7"/>
  <c r="J22" i="7"/>
  <c r="L90" i="7"/>
  <c r="K105" i="7"/>
  <c r="M40" i="7"/>
  <c r="J141" i="7"/>
  <c r="M48" i="7"/>
  <c r="K71" i="7"/>
  <c r="M112" i="7"/>
  <c r="K137" i="7"/>
  <c r="M122" i="7"/>
  <c r="K115" i="7"/>
  <c r="L81" i="7"/>
  <c r="L112" i="7"/>
  <c r="M123" i="7"/>
  <c r="M36" i="7"/>
  <c r="K75" i="7"/>
  <c r="M99" i="7"/>
  <c r="J69" i="7"/>
  <c r="M73" i="7"/>
  <c r="L119" i="7"/>
  <c r="M103" i="7"/>
  <c r="M61" i="7"/>
  <c r="J39" i="7"/>
  <c r="M50" i="7"/>
  <c r="K28" i="7"/>
  <c r="J133" i="7"/>
  <c r="L75" i="7"/>
  <c r="J26" i="7"/>
  <c r="L91" i="7"/>
  <c r="K21" i="7"/>
  <c r="J29" i="7"/>
  <c r="K110" i="7"/>
  <c r="K141" i="7"/>
  <c r="M29" i="7"/>
  <c r="L123" i="7"/>
  <c r="M137" i="7"/>
  <c r="L51" i="7"/>
  <c r="K119" i="7"/>
  <c r="M116" i="7"/>
  <c r="M81" i="7"/>
  <c r="L80" i="7"/>
  <c r="M62" i="7"/>
  <c r="K90" i="7"/>
  <c r="M74" i="7"/>
  <c r="L116" i="7"/>
  <c r="K91" i="7"/>
  <c r="J119" i="7"/>
  <c r="M91" i="7"/>
  <c r="J30" i="7"/>
  <c r="J128" i="7"/>
  <c r="K118" i="7"/>
  <c r="M47" i="7"/>
  <c r="M72" i="7"/>
  <c r="L71" i="7"/>
  <c r="K80" i="7"/>
  <c r="J74" i="7"/>
  <c r="L126" i="7"/>
  <c r="M110" i="7"/>
  <c r="M75" i="7"/>
  <c r="J114" i="7"/>
  <c r="K35" i="7"/>
  <c r="L83" i="7"/>
  <c r="M60" i="7"/>
  <c r="M22" i="7"/>
  <c r="L22" i="7"/>
  <c r="J135" i="7"/>
  <c r="J75" i="7"/>
  <c r="M138" i="7"/>
  <c r="J126" i="7"/>
  <c r="M128" i="7"/>
  <c r="J138" i="7"/>
  <c r="K82" i="7"/>
  <c r="J50" i="7"/>
  <c r="K113" i="7"/>
  <c r="M101" i="7"/>
  <c r="K135" i="7"/>
  <c r="M119" i="7"/>
  <c r="J64" i="7"/>
  <c r="J103" i="7"/>
  <c r="J122" i="7"/>
  <c r="J110" i="7"/>
  <c r="J71" i="7"/>
  <c r="K112" i="7"/>
  <c r="L36" i="7"/>
  <c r="L69" i="7"/>
  <c r="L49" i="7"/>
  <c r="L127" i="7"/>
  <c r="K133" i="7"/>
  <c r="L141" i="7"/>
  <c r="K101" i="7"/>
  <c r="M127" i="7"/>
  <c r="J35" i="7"/>
  <c r="L101" i="7"/>
  <c r="J117" i="7"/>
  <c r="L124" i="7"/>
  <c r="J120" i="7"/>
  <c r="J142" i="7"/>
  <c r="M69" i="7"/>
  <c r="L103" i="7"/>
  <c r="K128" i="7"/>
  <c r="K116" i="7"/>
  <c r="L73" i="7"/>
  <c r="L133" i="7"/>
  <c r="J61" i="7"/>
  <c r="K51" i="7"/>
  <c r="J23" i="7"/>
  <c r="J60" i="7"/>
  <c r="M90" i="7"/>
  <c r="J100" i="7"/>
  <c r="M28" i="7"/>
  <c r="K125" i="7"/>
  <c r="K83" i="7"/>
  <c r="J28" i="7"/>
  <c r="K136" i="7"/>
  <c r="L121" i="7"/>
  <c r="J37" i="7"/>
  <c r="L137" i="7"/>
  <c r="J81" i="7"/>
  <c r="L62" i="7"/>
  <c r="M23" i="7"/>
  <c r="M37" i="7"/>
  <c r="K104" i="7"/>
  <c r="K48" i="7"/>
  <c r="M49" i="7"/>
  <c r="J111" i="7"/>
  <c r="M98" i="7"/>
  <c r="K124" i="7"/>
  <c r="J49" i="7"/>
  <c r="J112" i="7"/>
  <c r="M41" i="7"/>
  <c r="M114" i="7"/>
  <c r="K120" i="7"/>
  <c r="K47" i="7"/>
  <c r="K26" i="7"/>
  <c r="L23" i="7"/>
  <c r="L29" i="7"/>
  <c r="J83" i="7"/>
  <c r="J70" i="7"/>
  <c r="L113" i="7"/>
  <c r="L28" i="7"/>
  <c r="J46" i="7"/>
  <c r="J91" i="7"/>
  <c r="K70" i="7"/>
  <c r="K23" i="7"/>
  <c r="J73" i="7"/>
  <c r="L102" i="7"/>
  <c r="M134" i="7"/>
  <c r="K50" i="7"/>
  <c r="M83" i="7"/>
  <c r="L46" i="7"/>
  <c r="K41" i="7"/>
  <c r="J115" i="7"/>
  <c r="L74" i="7"/>
  <c r="M39" i="7"/>
  <c r="L99" i="7"/>
  <c r="L128" i="7"/>
  <c r="L134" i="7"/>
  <c r="J105" i="7"/>
  <c r="M100" i="7"/>
  <c r="J137" i="7"/>
  <c r="K36" i="7"/>
  <c r="L50" i="7"/>
  <c r="K142" i="7"/>
  <c r="L61" i="7"/>
  <c r="L104" i="7"/>
  <c r="M70" i="7"/>
  <c r="K61" i="7"/>
  <c r="L122" i="7"/>
  <c r="L30" i="7"/>
  <c r="J98" i="7"/>
  <c r="L40" i="7"/>
  <c r="J63" i="7"/>
  <c r="L110" i="7"/>
  <c r="J62" i="7"/>
  <c r="K127" i="7"/>
  <c r="M46" i="7"/>
  <c r="K30" i="7"/>
  <c r="J20" i="7"/>
  <c r="L115" i="7"/>
  <c r="M20" i="7"/>
  <c r="K114" i="7"/>
  <c r="K73" i="7"/>
  <c r="K98" i="7"/>
  <c r="L135" i="7"/>
  <c r="K22" i="7"/>
  <c r="J51" i="7"/>
  <c r="L60" i="7"/>
  <c r="L118" i="7"/>
  <c r="J125" i="7"/>
  <c r="K138" i="7"/>
  <c r="K37" i="7"/>
  <c r="J72" i="7"/>
  <c r="L125" i="7"/>
  <c r="M111" i="7"/>
  <c r="K62" i="7"/>
  <c r="L142" i="7"/>
  <c r="L100" i="7"/>
  <c r="J134" i="7"/>
  <c r="M126" i="7"/>
  <c r="M26" i="7"/>
  <c r="J99" i="7"/>
  <c r="I138" i="7"/>
  <c r="I21" i="7"/>
  <c r="I82" i="7"/>
  <c r="N82" i="7" s="1"/>
  <c r="L79" i="7"/>
  <c r="I69" i="7"/>
  <c r="I116" i="7"/>
  <c r="I91" i="7"/>
  <c r="I119" i="7"/>
  <c r="K89" i="7"/>
  <c r="K92" i="7" s="1"/>
  <c r="I127" i="7"/>
  <c r="I137" i="7"/>
  <c r="I105" i="7"/>
  <c r="N105" i="7" s="1"/>
  <c r="I70" i="7"/>
  <c r="I64" i="7"/>
  <c r="I50" i="7"/>
  <c r="M19" i="7"/>
  <c r="I101" i="7"/>
  <c r="L97" i="7"/>
  <c r="I117" i="7"/>
  <c r="M68" i="7"/>
  <c r="I61" i="7"/>
  <c r="I124" i="7"/>
  <c r="N124" i="7" s="1"/>
  <c r="I51" i="7"/>
  <c r="I100" i="7"/>
  <c r="N100" i="7" s="1"/>
  <c r="I125" i="7"/>
  <c r="I135" i="7"/>
  <c r="K68" i="7"/>
  <c r="K76" i="7" s="1"/>
  <c r="K79" i="7"/>
  <c r="I28" i="7"/>
  <c r="I113" i="7"/>
  <c r="N113" i="7" s="1"/>
  <c r="I26" i="7"/>
  <c r="I114" i="7"/>
  <c r="I90" i="7"/>
  <c r="I75" i="7"/>
  <c r="L132" i="7"/>
  <c r="I110" i="7"/>
  <c r="K19" i="7"/>
  <c r="I123" i="7"/>
  <c r="I134" i="7"/>
  <c r="J132" i="7"/>
  <c r="I98" i="7"/>
  <c r="I37" i="7"/>
  <c r="I46" i="7"/>
  <c r="I122" i="7"/>
  <c r="L109" i="7"/>
  <c r="K109" i="7"/>
  <c r="I80" i="7"/>
  <c r="I102" i="7"/>
  <c r="N102" i="7" s="1"/>
  <c r="L68" i="7"/>
  <c r="M79" i="7"/>
  <c r="K132" i="7"/>
  <c r="M34" i="7"/>
  <c r="I128" i="7"/>
  <c r="I133" i="7"/>
  <c r="I121" i="7"/>
  <c r="I89" i="7"/>
  <c r="I40" i="7"/>
  <c r="K97" i="7"/>
  <c r="I118" i="7"/>
  <c r="K34" i="7"/>
  <c r="K42" i="7" s="1"/>
  <c r="I109" i="7"/>
  <c r="I126" i="7"/>
  <c r="I81" i="7"/>
  <c r="I111" i="7"/>
  <c r="I115" i="7"/>
  <c r="J34" i="7"/>
  <c r="M89" i="7"/>
  <c r="I83" i="7"/>
  <c r="M109" i="7"/>
  <c r="J79" i="7"/>
  <c r="I73" i="7"/>
  <c r="I60" i="7"/>
  <c r="I41" i="7"/>
  <c r="I63" i="7"/>
  <c r="L89" i="7"/>
  <c r="I35" i="7"/>
  <c r="I142" i="7"/>
  <c r="I112" i="7"/>
  <c r="I99" i="7"/>
  <c r="I48" i="7"/>
  <c r="I62" i="7"/>
  <c r="L34" i="7"/>
  <c r="I136" i="7"/>
  <c r="I71" i="7"/>
  <c r="I97" i="7"/>
  <c r="I104" i="7"/>
  <c r="J68" i="7"/>
  <c r="I22" i="7"/>
  <c r="I72" i="7"/>
  <c r="I49" i="7"/>
  <c r="I79" i="7"/>
  <c r="L19" i="7"/>
  <c r="I47" i="7"/>
  <c r="K45" i="7"/>
  <c r="I30" i="7"/>
  <c r="I120" i="7"/>
  <c r="J89" i="7"/>
  <c r="J92" i="7" s="1"/>
  <c r="I23" i="7"/>
  <c r="I103" i="7"/>
  <c r="I36" i="7"/>
  <c r="M97" i="7"/>
  <c r="I29" i="7"/>
  <c r="J19" i="7"/>
  <c r="J97" i="7"/>
  <c r="J109" i="7"/>
  <c r="I74" i="7"/>
  <c r="I39" i="7"/>
  <c r="M132" i="7"/>
  <c r="I34" i="7"/>
  <c r="I68" i="7"/>
  <c r="L59" i="7"/>
  <c r="J45" i="7"/>
  <c r="J59" i="7"/>
  <c r="K59" i="7"/>
  <c r="L45" i="7"/>
  <c r="M45" i="7"/>
  <c r="M59" i="7"/>
  <c r="I45" i="7"/>
  <c r="I141" i="7"/>
  <c r="I132" i="7"/>
  <c r="I19" i="7"/>
  <c r="I59" i="7"/>
  <c r="I20" i="7"/>
  <c r="N142" i="7" l="1"/>
  <c r="J65" i="7"/>
  <c r="N62" i="7"/>
  <c r="N98" i="7"/>
  <c r="N73" i="7"/>
  <c r="N74" i="7"/>
  <c r="N49" i="7"/>
  <c r="N104" i="7"/>
  <c r="L92" i="7"/>
  <c r="N19" i="7"/>
  <c r="N132" i="7"/>
  <c r="N80" i="7"/>
  <c r="N51" i="7"/>
  <c r="N118" i="7"/>
  <c r="N63" i="7"/>
  <c r="N35" i="7"/>
  <c r="L42" i="7"/>
  <c r="N112" i="7"/>
  <c r="N40" i="7"/>
  <c r="N71" i="7"/>
  <c r="K65" i="7"/>
  <c r="N141" i="7"/>
  <c r="L52" i="7"/>
  <c r="J106" i="7"/>
  <c r="K106" i="7"/>
  <c r="L106" i="7"/>
  <c r="N116" i="7"/>
  <c r="N21" i="7"/>
  <c r="N39" i="7"/>
  <c r="J24" i="7"/>
  <c r="N30" i="7"/>
  <c r="N136" i="7"/>
  <c r="N99" i="7"/>
  <c r="N60" i="7"/>
  <c r="L76" i="7"/>
  <c r="L129" i="7"/>
  <c r="N125" i="7"/>
  <c r="N101" i="7"/>
  <c r="N70" i="7"/>
  <c r="N69" i="7"/>
  <c r="L65" i="7"/>
  <c r="L84" i="7"/>
  <c r="K52" i="7"/>
  <c r="N48" i="7"/>
  <c r="J129" i="7"/>
  <c r="N47" i="7"/>
  <c r="N81" i="7"/>
  <c r="N128" i="7"/>
  <c r="N37" i="7"/>
  <c r="N123" i="7"/>
  <c r="N75" i="7"/>
  <c r="N135" i="7"/>
  <c r="N64" i="7"/>
  <c r="N127" i="7"/>
  <c r="M139" i="7"/>
  <c r="N36" i="7"/>
  <c r="N120" i="7"/>
  <c r="L24" i="7"/>
  <c r="L31" i="7" s="1"/>
  <c r="I139" i="7"/>
  <c r="J84" i="7"/>
  <c r="J42" i="7"/>
  <c r="N126" i="7"/>
  <c r="I92" i="7"/>
  <c r="N138" i="7"/>
  <c r="J52" i="7"/>
  <c r="J54" i="7" s="1"/>
  <c r="N59" i="7"/>
  <c r="M52" i="7"/>
  <c r="N97" i="7"/>
  <c r="I84" i="7"/>
  <c r="J76" i="7"/>
  <c r="M92" i="7"/>
  <c r="N133" i="7"/>
  <c r="M84" i="7"/>
  <c r="K129" i="7"/>
  <c r="N46" i="7"/>
  <c r="N134" i="7"/>
  <c r="L139" i="7"/>
  <c r="N26" i="7"/>
  <c r="N117" i="7"/>
  <c r="N50" i="7"/>
  <c r="N137" i="7"/>
  <c r="N91" i="7"/>
  <c r="N45" i="7"/>
  <c r="I76" i="7"/>
  <c r="J31" i="7"/>
  <c r="N103" i="7"/>
  <c r="N72" i="7"/>
  <c r="N41" i="7"/>
  <c r="M129" i="7"/>
  <c r="N115" i="7"/>
  <c r="M42" i="7"/>
  <c r="K24" i="7"/>
  <c r="K31" i="7" s="1"/>
  <c r="K54" i="7" s="1"/>
  <c r="N90" i="7"/>
  <c r="N28" i="7"/>
  <c r="N61" i="7"/>
  <c r="N20" i="7"/>
  <c r="M65" i="7"/>
  <c r="N34" i="7"/>
  <c r="N29" i="7"/>
  <c r="N23" i="7"/>
  <c r="N22" i="7"/>
  <c r="N83" i="7"/>
  <c r="I129" i="7"/>
  <c r="N121" i="7"/>
  <c r="K139" i="7"/>
  <c r="N122" i="7"/>
  <c r="J139" i="7"/>
  <c r="N110" i="7"/>
  <c r="N114" i="7"/>
  <c r="K84" i="7"/>
  <c r="M76" i="7"/>
  <c r="M24" i="7"/>
  <c r="M31" i="7" s="1"/>
  <c r="N119" i="7"/>
  <c r="I52" i="7"/>
  <c r="N109" i="7"/>
  <c r="N89" i="7"/>
  <c r="I106" i="7"/>
  <c r="N68" i="7"/>
  <c r="I42" i="7"/>
  <c r="M106" i="7"/>
  <c r="N79" i="7"/>
  <c r="N111" i="7"/>
  <c r="I65" i="7"/>
  <c r="I24" i="7"/>
  <c r="I31" i="7" s="1"/>
  <c r="J86" i="7" l="1"/>
  <c r="J94" i="7" s="1"/>
  <c r="N84" i="7"/>
  <c r="I86" i="7"/>
  <c r="N139" i="7"/>
  <c r="N42" i="7"/>
  <c r="L54" i="7"/>
  <c r="K86" i="7"/>
  <c r="K94" i="7" s="1"/>
  <c r="K144" i="7" s="1"/>
  <c r="J144" i="7"/>
  <c r="N52" i="7"/>
  <c r="N24" i="7"/>
  <c r="N31" i="7" s="1"/>
  <c r="N54" i="7" s="1"/>
  <c r="I94" i="7"/>
  <c r="I144" i="7" s="1"/>
  <c r="N76" i="7"/>
  <c r="M86" i="7"/>
  <c r="M94" i="7" s="1"/>
  <c r="M144" i="7" s="1"/>
  <c r="L86" i="7"/>
  <c r="L94" i="7" s="1"/>
  <c r="L144" i="7" s="1"/>
  <c r="N92" i="7"/>
  <c r="N65" i="7"/>
  <c r="N106" i="7"/>
  <c r="M54" i="7"/>
  <c r="M7" i="7" s="1"/>
  <c r="I54" i="7"/>
  <c r="M203" i="8"/>
  <c r="K8" i="7"/>
  <c r="L7" i="7"/>
  <c r="K146" i="7"/>
  <c r="K7" i="7"/>
  <c r="I8" i="7"/>
  <c r="K203" i="8"/>
  <c r="N129" i="7"/>
  <c r="J146" i="7"/>
  <c r="J7" i="7"/>
  <c r="J8" i="7"/>
  <c r="L203" i="8"/>
  <c r="N86" i="7" l="1"/>
  <c r="N94" i="7" s="1"/>
  <c r="N144" i="7" s="1"/>
  <c r="N8" i="7" s="1"/>
  <c r="K9" i="7"/>
  <c r="N203" i="8"/>
  <c r="L146" i="7"/>
  <c r="L8" i="7"/>
  <c r="L9" i="7" s="1"/>
  <c r="J9" i="7"/>
  <c r="N7" i="7"/>
  <c r="I7" i="7"/>
  <c r="I9" i="7" s="1"/>
  <c r="I146" i="7"/>
  <c r="M8" i="7"/>
  <c r="M9" i="7" s="1"/>
  <c r="O203" i="8"/>
  <c r="M146" i="7"/>
  <c r="N146" i="7" l="1"/>
  <c r="N9" i="7"/>
</calcChain>
</file>

<file path=xl/comments1.xml><?xml version="1.0" encoding="utf-8"?>
<comments xmlns="http://schemas.openxmlformats.org/spreadsheetml/2006/main">
  <authors>
    <author>hrubyda</author>
  </authors>
  <commentList>
    <comment ref="G11" authorId="0" shapeId="0">
      <text>
        <r>
          <rPr>
            <b/>
            <sz val="9"/>
            <color indexed="81"/>
            <rFont val="Tahoma"/>
            <family val="2"/>
          </rPr>
          <t>CSI:</t>
        </r>
        <r>
          <rPr>
            <sz val="9"/>
            <color indexed="81"/>
            <rFont val="Tahoma"/>
            <family val="2"/>
          </rPr>
          <t xml:space="preserve">
This line should show how many students a school intends to be paid for.  
For Example:
If a school plans on enrollment of 100 students however is budgeting to only receive 95% of those students, 95 should be entered in in this row.  </t>
        </r>
      </text>
    </comment>
    <comment ref="G18" authorId="0" shapeId="0">
      <text>
        <r>
          <rPr>
            <b/>
            <sz val="8"/>
            <color indexed="81"/>
            <rFont val="Tahoma"/>
            <family val="2"/>
          </rPr>
          <t xml:space="preserve">CSI:
</t>
        </r>
        <r>
          <rPr>
            <sz val="8"/>
            <color indexed="81"/>
            <rFont val="Tahoma"/>
            <family val="2"/>
          </rPr>
          <t xml:space="preserve">Enter in the Per Pupil Rate (PPR) for the Current Year (CY). 
For Example:
If this application is being submitted in 2009-10 for a school opening in 2011-12, enter in the 2009-10 PPR for that district in the cells below.  If a higher PPR is assumed indicate that % increase in the ASSUMPTION column. 
Refer to the State Aid website for the tuition rates. https://stateaid.nysed.gov/charter/
</t>
        </r>
      </text>
    </comment>
    <comment ref="E59" authorId="0" shapeId="0">
      <text>
        <r>
          <rPr>
            <b/>
            <sz val="8"/>
            <color indexed="81"/>
            <rFont val="Tahoma"/>
            <family val="2"/>
          </rPr>
          <t xml:space="preserve">CSI:
Sample titles that fall under this line:
 - </t>
        </r>
        <r>
          <rPr>
            <sz val="8"/>
            <color indexed="81"/>
            <rFont val="Tahoma"/>
            <family val="2"/>
          </rPr>
          <t>Head of School
 - Superintendant
 - School Leader
 - Executive Director
 - CEO</t>
        </r>
      </text>
    </comment>
    <comment ref="E60" authorId="0" shapeId="0">
      <text>
        <r>
          <rPr>
            <b/>
            <sz val="8"/>
            <color indexed="81"/>
            <rFont val="Tahoma"/>
            <family val="2"/>
          </rPr>
          <t xml:space="preserve">CSI:
Sample titles that fall under this line:
 - </t>
        </r>
        <r>
          <rPr>
            <sz val="8"/>
            <color indexed="81"/>
            <rFont val="Tahoma"/>
            <family val="2"/>
          </rPr>
          <t>Principal
 - Vice-Principal
 - Assistant Principal
 - Chief Academic Officer</t>
        </r>
      </text>
    </comment>
    <comment ref="E61" authorId="0" shapeId="0">
      <text>
        <r>
          <rPr>
            <b/>
            <sz val="8"/>
            <color indexed="81"/>
            <rFont val="Tahoma"/>
            <family val="2"/>
          </rPr>
          <t xml:space="preserve">CSI:
Sample titles that fall under this line:
</t>
        </r>
        <r>
          <rPr>
            <sz val="8"/>
            <color indexed="81"/>
            <rFont val="Tahoma"/>
            <family val="2"/>
          </rPr>
          <t>Director, Deans, Coordinators of:</t>
        </r>
        <r>
          <rPr>
            <sz val="8"/>
            <color indexed="81"/>
            <rFont val="Tahoma"/>
            <family val="2"/>
          </rPr>
          <t xml:space="preserve">
 - Curriculum
 - Instruction
 - Faculty
 - Students
 - Assessment
 - Student Affairs
 - Student Achievement
 - Development</t>
        </r>
      </text>
    </comment>
    <comment ref="E64" authorId="0" shapeId="0">
      <text>
        <r>
          <rPr>
            <b/>
            <sz val="8"/>
            <color indexed="81"/>
            <rFont val="Tahoma"/>
            <family val="2"/>
          </rPr>
          <t>CSI:
Sample titles that fall under this line:</t>
        </r>
        <r>
          <rPr>
            <sz val="8"/>
            <color indexed="81"/>
            <rFont val="Tahoma"/>
            <family val="2"/>
          </rPr>
          <t xml:space="preserve">
 - Secretary
 - Receptionist
 - Attendance Clerk
 - Office Manager</t>
        </r>
      </text>
    </comment>
    <comment ref="E68" authorId="0" shapeId="0">
      <text>
        <r>
          <rPr>
            <b/>
            <sz val="8"/>
            <color indexed="81"/>
            <rFont val="Tahoma"/>
            <family val="2"/>
          </rPr>
          <t>CSI:
Sample titles that fall under this line:</t>
        </r>
        <r>
          <rPr>
            <sz val="8"/>
            <color indexed="81"/>
            <rFont val="Tahoma"/>
            <family val="2"/>
          </rPr>
          <t xml:space="preserve">
Content/Subject Area Teachers:
   - ELA
   - Math
   - Social Studies
   - Science</t>
        </r>
      </text>
    </comment>
    <comment ref="E72" authorId="0" shapeId="0">
      <text>
        <r>
          <rPr>
            <b/>
            <sz val="8"/>
            <color indexed="81"/>
            <rFont val="Tahoma"/>
            <family val="2"/>
          </rPr>
          <t>CSI:
Sample titles that fall under this line:</t>
        </r>
        <r>
          <rPr>
            <sz val="8"/>
            <color indexed="81"/>
            <rFont val="Tahoma"/>
            <family val="2"/>
          </rPr>
          <t xml:space="preserve">
 - ESL
 - Reading
 - Math and/or Literacy Specialists
 - Art
 - PE
 - Music
 - Foreign Languages
 - Photography
 - Ceramics</t>
        </r>
      </text>
    </comment>
    <comment ref="E74" authorId="0" shapeId="0">
      <text>
        <r>
          <rPr>
            <b/>
            <sz val="8"/>
            <color indexed="81"/>
            <rFont val="Tahoma"/>
            <family val="2"/>
          </rPr>
          <t>CSI:
Sample titles that fall under this line:</t>
        </r>
        <r>
          <rPr>
            <sz val="8"/>
            <color indexed="81"/>
            <rFont val="Tahoma"/>
            <family val="2"/>
          </rPr>
          <t xml:space="preserve">
 - Speech Therapists
 - Social Workers</t>
        </r>
      </text>
    </comment>
    <comment ref="E90" authorId="0" shapeId="0">
      <text>
        <r>
          <rPr>
            <b/>
            <sz val="8"/>
            <color indexed="81"/>
            <rFont val="Tahoma"/>
            <family val="2"/>
          </rPr>
          <t>CSI:</t>
        </r>
        <r>
          <rPr>
            <sz val="8"/>
            <color indexed="81"/>
            <rFont val="Tahoma"/>
            <family val="2"/>
          </rPr>
          <t xml:space="preserve">
Health and Dental
Social Security
Medicare
Unemployment
Other
</t>
        </r>
      </text>
    </comment>
    <comment ref="E105" authorId="0" shapeId="0">
      <text>
        <r>
          <rPr>
            <b/>
            <sz val="8"/>
            <color indexed="81"/>
            <rFont val="Tahoma"/>
            <family val="2"/>
          </rPr>
          <t xml:space="preserve">CSI:
</t>
        </r>
        <r>
          <rPr>
            <sz val="8"/>
            <color indexed="81"/>
            <rFont val="Tahoma"/>
            <family val="2"/>
          </rPr>
          <t>Janitorial</t>
        </r>
        <r>
          <rPr>
            <b/>
            <sz val="8"/>
            <color indexed="81"/>
            <rFont val="Tahoma"/>
            <family val="2"/>
          </rPr>
          <t xml:space="preserve">
</t>
        </r>
        <r>
          <rPr>
            <sz val="8"/>
            <color indexed="81"/>
            <rFont val="Tahoma"/>
            <family val="2"/>
          </rPr>
          <t xml:space="preserve">Consultants
 - Assessment
 - Technology
 - Other
Security
Background Screening
Public Relations
</t>
        </r>
      </text>
    </comment>
    <comment ref="E109" authorId="0" shapeId="0">
      <text>
        <r>
          <rPr>
            <b/>
            <sz val="8"/>
            <color indexed="81"/>
            <rFont val="Tahoma"/>
            <family val="2"/>
          </rPr>
          <t>CSI:</t>
        </r>
        <r>
          <rPr>
            <sz val="8"/>
            <color indexed="81"/>
            <rFont val="Tahoma"/>
            <family val="2"/>
          </rPr>
          <t xml:space="preserve">
Development
Conferences</t>
        </r>
      </text>
    </comment>
    <comment ref="E113" authorId="0" shapeId="0">
      <text>
        <r>
          <rPr>
            <b/>
            <sz val="8"/>
            <color indexed="81"/>
            <rFont val="Tahoma"/>
            <family val="2"/>
          </rPr>
          <t>CSI:</t>
        </r>
        <r>
          <rPr>
            <sz val="8"/>
            <color indexed="81"/>
            <rFont val="Tahoma"/>
            <family val="2"/>
          </rPr>
          <t xml:space="preserve">
Curriculum
</t>
        </r>
      </text>
    </comment>
    <comment ref="E114" authorId="0" shapeId="0">
      <text>
        <r>
          <rPr>
            <b/>
            <sz val="8"/>
            <color indexed="81"/>
            <rFont val="Tahoma"/>
            <family val="2"/>
          </rPr>
          <t>CSI:</t>
        </r>
        <r>
          <rPr>
            <sz val="8"/>
            <color indexed="81"/>
            <rFont val="Tahoma"/>
            <family val="2"/>
          </rPr>
          <t xml:space="preserve">
Instructional
Non-Instructional
Athletic
Music
Office Equipment
</t>
        </r>
        <r>
          <rPr>
            <b/>
            <sz val="8"/>
            <color indexed="81"/>
            <rFont val="Tahoma"/>
            <family val="2"/>
          </rPr>
          <t>* Includes the Purchase or Lease of  any of the above</t>
        </r>
      </text>
    </comment>
    <comment ref="E116" authorId="0" shapeId="0">
      <text>
        <r>
          <rPr>
            <b/>
            <sz val="8"/>
            <color indexed="81"/>
            <rFont val="Tahoma"/>
            <family val="2"/>
          </rPr>
          <t>CSI:</t>
        </r>
        <r>
          <rPr>
            <sz val="8"/>
            <color indexed="81"/>
            <rFont val="Tahoma"/>
            <family val="2"/>
          </rPr>
          <t xml:space="preserve">
Hardware
Software
Internet
Wiring
Other</t>
        </r>
      </text>
    </comment>
    <comment ref="E120" authorId="0" shapeId="0">
      <text>
        <r>
          <rPr>
            <b/>
            <sz val="8"/>
            <color indexed="81"/>
            <rFont val="Tahoma"/>
            <family val="2"/>
          </rPr>
          <t>CSI:</t>
        </r>
        <r>
          <rPr>
            <sz val="8"/>
            <color indexed="81"/>
            <rFont val="Tahoma"/>
            <family val="2"/>
          </rPr>
          <t xml:space="preserve">
Uniforms
Special Events</t>
        </r>
      </text>
    </comment>
    <comment ref="E121" authorId="0" shapeId="0">
      <text>
        <r>
          <rPr>
            <b/>
            <sz val="8"/>
            <color indexed="81"/>
            <rFont val="Tahoma"/>
            <family val="2"/>
          </rPr>
          <t>CSI:</t>
        </r>
        <r>
          <rPr>
            <sz val="8"/>
            <color indexed="81"/>
            <rFont val="Tahoma"/>
            <family val="2"/>
          </rPr>
          <t xml:space="preserve">
Printing
Postage
Copying
All Other</t>
        </r>
      </text>
    </comment>
    <comment ref="E122" authorId="0" shapeId="0">
      <text>
        <r>
          <rPr>
            <b/>
            <sz val="8"/>
            <color indexed="81"/>
            <rFont val="Tahoma"/>
            <family val="2"/>
          </rPr>
          <t>CSI:</t>
        </r>
        <r>
          <rPr>
            <sz val="8"/>
            <color indexed="81"/>
            <rFont val="Tahoma"/>
            <family val="2"/>
          </rPr>
          <t xml:space="preserve">
Conferences</t>
        </r>
      </text>
    </comment>
    <comment ref="E135" authorId="0" shapeId="0">
      <text>
        <r>
          <rPr>
            <b/>
            <sz val="8"/>
            <color indexed="81"/>
            <rFont val="Tahoma"/>
            <family val="2"/>
          </rPr>
          <t>CSI:</t>
        </r>
        <r>
          <rPr>
            <sz val="8"/>
            <color indexed="81"/>
            <rFont val="Tahoma"/>
            <family val="2"/>
          </rPr>
          <t xml:space="preserve">
Facility
Equipment</t>
        </r>
      </text>
    </comment>
    <comment ref="E136" authorId="0" shapeId="0">
      <text>
        <r>
          <rPr>
            <b/>
            <sz val="8"/>
            <color indexed="81"/>
            <rFont val="Tahoma"/>
            <family val="2"/>
          </rPr>
          <t>CSI:</t>
        </r>
        <r>
          <rPr>
            <sz val="8"/>
            <color indexed="81"/>
            <rFont val="Tahoma"/>
            <family val="2"/>
          </rPr>
          <t xml:space="preserve">
Facility Related
</t>
        </r>
        <r>
          <rPr>
            <b/>
            <sz val="8"/>
            <color indexed="81"/>
            <rFont val="Tahoma"/>
            <family val="2"/>
          </rPr>
          <t>* Includes the Purchase or Lease of  any equipment</t>
        </r>
      </text>
    </comment>
    <comment ref="E138" authorId="0" shapeId="0">
      <text>
        <r>
          <rPr>
            <b/>
            <sz val="8"/>
            <color indexed="81"/>
            <rFont val="Tahoma"/>
            <family val="2"/>
          </rPr>
          <t>CSI:</t>
        </r>
        <r>
          <rPr>
            <sz val="8"/>
            <color indexed="81"/>
            <rFont val="Tahoma"/>
            <family val="2"/>
          </rPr>
          <t xml:space="preserve">
Electric
Gas
Other</t>
        </r>
      </text>
    </comment>
    <comment ref="E142" authorId="0" shapeId="0">
      <text>
        <r>
          <rPr>
            <b/>
            <sz val="8"/>
            <color indexed="81"/>
            <rFont val="Tahoma"/>
            <family val="2"/>
          </rPr>
          <t>CSI:</t>
        </r>
        <r>
          <rPr>
            <sz val="8"/>
            <color indexed="81"/>
            <rFont val="Tahoma"/>
            <family val="2"/>
          </rPr>
          <t xml:space="preserve">
</t>
        </r>
        <r>
          <rPr>
            <sz val="8"/>
            <color indexed="81"/>
            <rFont val="Tahoma"/>
            <family val="2"/>
          </rPr>
          <t>$75,000 should be set aside for Dissolution and it can be spread out over the first THREE years if the school chooses.  If spread out each year should minimally be $25k.  
A note can be added under assumptions describing the breakout.</t>
        </r>
      </text>
    </comment>
  </commentList>
</comments>
</file>

<file path=xl/comments2.xml><?xml version="1.0" encoding="utf-8"?>
<comments xmlns="http://schemas.openxmlformats.org/spreadsheetml/2006/main">
  <authors>
    <author>hrubyda</author>
  </authors>
  <commentList>
    <comment ref="C96" authorId="0" shapeId="0">
      <text>
        <r>
          <rPr>
            <b/>
            <sz val="8"/>
            <color indexed="81"/>
            <rFont val="Tahoma"/>
            <family val="2"/>
          </rPr>
          <t>CSI:</t>
        </r>
        <r>
          <rPr>
            <sz val="8"/>
            <color indexed="81"/>
            <rFont val="Tahoma"/>
            <family val="2"/>
          </rPr>
          <t xml:space="preserve">
Health and Dental
Social Security
Medicare
Unemployment
Other
</t>
        </r>
      </text>
    </comment>
    <comment ref="C97" authorId="0" shapeId="0">
      <text>
        <r>
          <rPr>
            <b/>
            <sz val="8"/>
            <color indexed="81"/>
            <rFont val="Tahoma"/>
            <family val="2"/>
          </rPr>
          <t>CSI:</t>
        </r>
        <r>
          <rPr>
            <sz val="8"/>
            <color indexed="81"/>
            <rFont val="Tahoma"/>
            <family val="2"/>
          </rPr>
          <t xml:space="preserve">
Health and Dental
Social Security
Medicare
Unemployment
Other
</t>
        </r>
      </text>
    </comment>
    <comment ref="C98" authorId="0" shapeId="0">
      <text>
        <r>
          <rPr>
            <b/>
            <sz val="8"/>
            <color indexed="81"/>
            <rFont val="Tahoma"/>
            <family val="2"/>
          </rPr>
          <t>CSI:</t>
        </r>
        <r>
          <rPr>
            <sz val="8"/>
            <color indexed="81"/>
            <rFont val="Tahoma"/>
            <family val="2"/>
          </rPr>
          <t xml:space="preserve">
Health and Dental
Social Security
Medicare
Unemployment
Other
</t>
        </r>
      </text>
    </comment>
    <comment ref="C99" authorId="0" shapeId="0">
      <text>
        <r>
          <rPr>
            <b/>
            <sz val="8"/>
            <color indexed="81"/>
            <rFont val="Tahoma"/>
            <family val="2"/>
          </rPr>
          <t>CSI:</t>
        </r>
        <r>
          <rPr>
            <sz val="8"/>
            <color indexed="81"/>
            <rFont val="Tahoma"/>
            <family val="2"/>
          </rPr>
          <t xml:space="preserve">
Health and Dental
Social Security
Medicare
Unemployment
Other
</t>
        </r>
      </text>
    </comment>
    <comment ref="C100" authorId="0" shapeId="0">
      <text>
        <r>
          <rPr>
            <b/>
            <sz val="8"/>
            <color indexed="81"/>
            <rFont val="Tahoma"/>
            <family val="2"/>
          </rPr>
          <t>CSI:</t>
        </r>
        <r>
          <rPr>
            <sz val="8"/>
            <color indexed="81"/>
            <rFont val="Tahoma"/>
            <family val="2"/>
          </rPr>
          <t xml:space="preserve">
Health and Dental
Social Security
Medicare
Unemployment
Other
</t>
        </r>
      </text>
    </comment>
    <comment ref="C101" authorId="0" shapeId="0">
      <text>
        <r>
          <rPr>
            <b/>
            <sz val="8"/>
            <color indexed="81"/>
            <rFont val="Tahoma"/>
            <family val="2"/>
          </rPr>
          <t>CSI:</t>
        </r>
        <r>
          <rPr>
            <sz val="8"/>
            <color indexed="81"/>
            <rFont val="Tahoma"/>
            <family val="2"/>
          </rPr>
          <t xml:space="preserve">
Health and Dental
Social Security
Medicare
Unemployment
Other
</t>
        </r>
      </text>
    </comment>
    <comment ref="C102" authorId="0" shapeId="0">
      <text>
        <r>
          <rPr>
            <b/>
            <sz val="8"/>
            <color indexed="81"/>
            <rFont val="Tahoma"/>
            <family val="2"/>
          </rPr>
          <t>CSI:</t>
        </r>
        <r>
          <rPr>
            <sz val="8"/>
            <color indexed="81"/>
            <rFont val="Tahoma"/>
            <family val="2"/>
          </rPr>
          <t xml:space="preserve">
Health and Dental
Social Security
Medicare
Unemployment
Other
</t>
        </r>
      </text>
    </comment>
    <comment ref="C103" authorId="0" shapeId="0">
      <text>
        <r>
          <rPr>
            <b/>
            <sz val="8"/>
            <color indexed="81"/>
            <rFont val="Tahoma"/>
            <family val="2"/>
          </rPr>
          <t>CSI:</t>
        </r>
        <r>
          <rPr>
            <sz val="8"/>
            <color indexed="81"/>
            <rFont val="Tahoma"/>
            <family val="2"/>
          </rPr>
          <t xml:space="preserve">
Health and Dental
Social Security
Medicare
Unemployment
Other
</t>
        </r>
      </text>
    </comment>
    <comment ref="C104" authorId="0" shapeId="0">
      <text>
        <r>
          <rPr>
            <b/>
            <sz val="8"/>
            <color indexed="81"/>
            <rFont val="Tahoma"/>
            <family val="2"/>
          </rPr>
          <t>CSI:</t>
        </r>
        <r>
          <rPr>
            <sz val="8"/>
            <color indexed="81"/>
            <rFont val="Tahoma"/>
            <family val="2"/>
          </rPr>
          <t xml:space="preserve">
Health and Dental
Social Security
Medicare
Unemployment
Other
</t>
        </r>
      </text>
    </comment>
    <comment ref="C105" authorId="0" shapeId="0">
      <text>
        <r>
          <rPr>
            <b/>
            <sz val="8"/>
            <color indexed="81"/>
            <rFont val="Tahoma"/>
            <family val="2"/>
          </rPr>
          <t>CSI:</t>
        </r>
        <r>
          <rPr>
            <sz val="8"/>
            <color indexed="81"/>
            <rFont val="Tahoma"/>
            <family val="2"/>
          </rPr>
          <t xml:space="preserve">
Health and Dental
Social Security
Medicare
Unemployment
Other
</t>
        </r>
      </text>
    </comment>
    <comment ref="C106" authorId="0" shapeId="0">
      <text>
        <r>
          <rPr>
            <b/>
            <sz val="8"/>
            <color indexed="81"/>
            <rFont val="Tahoma"/>
            <family val="2"/>
          </rPr>
          <t>CSI:</t>
        </r>
        <r>
          <rPr>
            <sz val="8"/>
            <color indexed="81"/>
            <rFont val="Tahoma"/>
            <family val="2"/>
          </rPr>
          <t xml:space="preserve">
Health and Dental
Social Security
Medicare
Unemployment
Other
</t>
        </r>
      </text>
    </comment>
    <comment ref="C115" authorId="0" shapeId="0">
      <text>
        <r>
          <rPr>
            <b/>
            <sz val="8"/>
            <color indexed="81"/>
            <rFont val="Tahoma"/>
            <family val="2"/>
          </rPr>
          <t>CSI:</t>
        </r>
        <r>
          <rPr>
            <sz val="8"/>
            <color indexed="81"/>
            <rFont val="Tahoma"/>
            <family val="2"/>
          </rPr>
          <t xml:space="preserve">
Facility Related
</t>
        </r>
        <r>
          <rPr>
            <b/>
            <sz val="8"/>
            <color indexed="81"/>
            <rFont val="Tahoma"/>
            <family val="2"/>
          </rPr>
          <t>* Includes the Purchase or Lease of  any equipment</t>
        </r>
      </text>
    </comment>
    <comment ref="C116" authorId="0" shapeId="0">
      <text>
        <r>
          <rPr>
            <b/>
            <sz val="8"/>
            <color indexed="81"/>
            <rFont val="Tahoma"/>
            <family val="2"/>
          </rPr>
          <t>CSI:</t>
        </r>
        <r>
          <rPr>
            <sz val="8"/>
            <color indexed="81"/>
            <rFont val="Tahoma"/>
            <family val="2"/>
          </rPr>
          <t xml:space="preserve">
Facility Related
</t>
        </r>
        <r>
          <rPr>
            <b/>
            <sz val="8"/>
            <color indexed="81"/>
            <rFont val="Tahoma"/>
            <family val="2"/>
          </rPr>
          <t>* Includes the Purchase or Lease of  any equipment</t>
        </r>
      </text>
    </comment>
    <comment ref="C177" authorId="0" shapeId="0">
      <text>
        <r>
          <rPr>
            <b/>
            <sz val="8"/>
            <color indexed="81"/>
            <rFont val="Tahoma"/>
            <family val="2"/>
          </rPr>
          <t>CSI:</t>
        </r>
        <r>
          <rPr>
            <sz val="8"/>
            <color indexed="81"/>
            <rFont val="Tahoma"/>
            <family val="2"/>
          </rPr>
          <t xml:space="preserve">
Uniforms
Special Events</t>
        </r>
      </text>
    </comment>
    <comment ref="C178" authorId="0" shapeId="0">
      <text>
        <r>
          <rPr>
            <b/>
            <sz val="8"/>
            <color indexed="81"/>
            <rFont val="Tahoma"/>
            <family val="2"/>
          </rPr>
          <t>CSI:</t>
        </r>
        <r>
          <rPr>
            <sz val="8"/>
            <color indexed="81"/>
            <rFont val="Tahoma"/>
            <family val="2"/>
          </rPr>
          <t xml:space="preserve">
Uniforms
Special Events</t>
        </r>
      </text>
    </comment>
    <comment ref="C183" authorId="0" shapeId="0">
      <text>
        <r>
          <rPr>
            <b/>
            <sz val="8"/>
            <color indexed="81"/>
            <rFont val="Tahoma"/>
            <family val="2"/>
          </rPr>
          <t>CSI:</t>
        </r>
        <r>
          <rPr>
            <sz val="8"/>
            <color indexed="81"/>
            <rFont val="Tahoma"/>
            <family val="2"/>
          </rPr>
          <t xml:space="preserve">
Electric
Gas
Other</t>
        </r>
      </text>
    </comment>
    <comment ref="C184" authorId="0" shapeId="0">
      <text>
        <r>
          <rPr>
            <b/>
            <sz val="8"/>
            <color indexed="81"/>
            <rFont val="Tahoma"/>
            <family val="2"/>
          </rPr>
          <t>CSI:</t>
        </r>
        <r>
          <rPr>
            <sz val="8"/>
            <color indexed="81"/>
            <rFont val="Tahoma"/>
            <family val="2"/>
          </rPr>
          <t xml:space="preserve">
Electric
Gas
Other</t>
        </r>
      </text>
    </comment>
    <comment ref="C185" authorId="0" shapeId="0">
      <text>
        <r>
          <rPr>
            <b/>
            <sz val="8"/>
            <color indexed="81"/>
            <rFont val="Tahoma"/>
            <family val="2"/>
          </rPr>
          <t>CSI:</t>
        </r>
        <r>
          <rPr>
            <sz val="8"/>
            <color indexed="81"/>
            <rFont val="Tahoma"/>
            <family val="2"/>
          </rPr>
          <t xml:space="preserve">
Electric
Gas
Other</t>
        </r>
      </text>
    </comment>
    <comment ref="C186" authorId="0" shapeId="0">
      <text>
        <r>
          <rPr>
            <b/>
            <sz val="8"/>
            <color indexed="81"/>
            <rFont val="Tahoma"/>
            <family val="2"/>
          </rPr>
          <t>CSI:</t>
        </r>
        <r>
          <rPr>
            <sz val="8"/>
            <color indexed="81"/>
            <rFont val="Tahoma"/>
            <family val="2"/>
          </rPr>
          <t xml:space="preserve">
Facility
Equipment</t>
        </r>
      </text>
    </comment>
    <comment ref="C189" authorId="0" shapeId="0">
      <text>
        <r>
          <rPr>
            <b/>
            <sz val="8"/>
            <color indexed="81"/>
            <rFont val="Tahoma"/>
            <family val="2"/>
          </rPr>
          <t>CSI:</t>
        </r>
        <r>
          <rPr>
            <sz val="8"/>
            <color indexed="81"/>
            <rFont val="Tahoma"/>
            <family val="2"/>
          </rPr>
          <t xml:space="preserve">
Facility
Equipment</t>
        </r>
      </text>
    </comment>
    <comment ref="C195" authorId="0" shapeId="0">
      <text>
        <r>
          <rPr>
            <b/>
            <sz val="8"/>
            <color indexed="81"/>
            <rFont val="Tahoma"/>
            <family val="2"/>
          </rPr>
          <t>CSI:</t>
        </r>
        <r>
          <rPr>
            <sz val="8"/>
            <color indexed="81"/>
            <rFont val="Tahoma"/>
            <family val="2"/>
          </rPr>
          <t xml:space="preserve">
Hardware
Software
Internet
Wiring
Other</t>
        </r>
      </text>
    </comment>
    <comment ref="C196" authorId="0" shapeId="0">
      <text>
        <r>
          <rPr>
            <b/>
            <sz val="8"/>
            <color indexed="81"/>
            <rFont val="Tahoma"/>
            <family val="2"/>
          </rPr>
          <t>CSI:</t>
        </r>
        <r>
          <rPr>
            <sz val="8"/>
            <color indexed="81"/>
            <rFont val="Tahoma"/>
            <family val="2"/>
          </rPr>
          <t xml:space="preserve">
Hardware
Software
Internet
Wiring
Other</t>
        </r>
      </text>
    </comment>
    <comment ref="C197" authorId="0" shapeId="0">
      <text>
        <r>
          <rPr>
            <b/>
            <sz val="8"/>
            <color indexed="81"/>
            <rFont val="Tahoma"/>
            <family val="2"/>
          </rPr>
          <t>CSI:</t>
        </r>
        <r>
          <rPr>
            <sz val="8"/>
            <color indexed="81"/>
            <rFont val="Tahoma"/>
            <family val="2"/>
          </rPr>
          <t xml:space="preserve">
Hardware
Software
Internet
Wiring
Other</t>
        </r>
      </text>
    </comment>
    <comment ref="C198" authorId="0" shapeId="0">
      <text>
        <r>
          <rPr>
            <b/>
            <sz val="8"/>
            <color indexed="81"/>
            <rFont val="Tahoma"/>
            <family val="2"/>
          </rPr>
          <t>CSI:</t>
        </r>
        <r>
          <rPr>
            <sz val="8"/>
            <color indexed="81"/>
            <rFont val="Tahoma"/>
            <family val="2"/>
          </rPr>
          <t xml:space="preserve">
Hardware
Software
Internet
Wiring
Other</t>
        </r>
      </text>
    </comment>
    <comment ref="C199" authorId="0" shapeId="0">
      <text>
        <r>
          <rPr>
            <b/>
            <sz val="8"/>
            <color indexed="81"/>
            <rFont val="Tahoma"/>
            <family val="2"/>
          </rPr>
          <t>CSI:</t>
        </r>
        <r>
          <rPr>
            <sz val="8"/>
            <color indexed="81"/>
            <rFont val="Tahoma"/>
            <family val="2"/>
          </rPr>
          <t xml:space="preserve">
Hardware
Software
Internet
Wiring
Other</t>
        </r>
      </text>
    </comment>
  </commentList>
</comments>
</file>

<file path=xl/sharedStrings.xml><?xml version="1.0" encoding="utf-8"?>
<sst xmlns="http://schemas.openxmlformats.org/spreadsheetml/2006/main" count="728" uniqueCount="380">
  <si>
    <t>Total Revenue</t>
  </si>
  <si>
    <t>Total Expenses</t>
  </si>
  <si>
    <t>Net Income</t>
  </si>
  <si>
    <t>Actual Student Enrollment</t>
  </si>
  <si>
    <t>Total Paid Student Enrollment</t>
  </si>
  <si>
    <t>REVENUE</t>
  </si>
  <si>
    <t>REVENUES FROM STATE SOURCES</t>
  </si>
  <si>
    <t>Per Pupil Revenue</t>
  </si>
  <si>
    <t>School District 2 (Enter Name)</t>
  </si>
  <si>
    <t>School District 3 (Enter Name)</t>
  </si>
  <si>
    <t>School District 4 (Enter Name)</t>
  </si>
  <si>
    <t>School District 5 (Enter Name)</t>
  </si>
  <si>
    <t>Special Education Revenue</t>
  </si>
  <si>
    <t>Grants</t>
  </si>
  <si>
    <t>Stimulus</t>
  </si>
  <si>
    <t>Other</t>
  </si>
  <si>
    <t>TOTAL REVENUE FROM STATE SOURCES</t>
  </si>
  <si>
    <t>REVENUE FROM FEDERAL FUNDING</t>
  </si>
  <si>
    <t>IDEA Special Needs</t>
  </si>
  <si>
    <t>Title I</t>
  </si>
  <si>
    <t>Title Funding - Other</t>
  </si>
  <si>
    <t>School Food Service (Free Lunch)</t>
  </si>
  <si>
    <t>Charter School Program (CSP) Planning &amp; Implementation</t>
  </si>
  <si>
    <t>TOTAL REVENUE FROM FEDERAL SOURCES</t>
  </si>
  <si>
    <t>LOCAL and OTHER REVENUE</t>
  </si>
  <si>
    <t>Fundraising</t>
  </si>
  <si>
    <t>Erate Reimbursement</t>
  </si>
  <si>
    <t>Food Service (Income from meals)</t>
  </si>
  <si>
    <t>Text Book</t>
  </si>
  <si>
    <t>OTHER</t>
  </si>
  <si>
    <t>TOTAL REVENUE FROM LOCAL and OTHER SOURCES</t>
  </si>
  <si>
    <t xml:space="preserve">TOTAL REVENUE </t>
  </si>
  <si>
    <t>EXPENSES</t>
  </si>
  <si>
    <t>ADMINISTRATIVE STAFF PERSONNEL COSTS</t>
  </si>
  <si>
    <t>No. of Positions</t>
  </si>
  <si>
    <t>Executive Management</t>
  </si>
  <si>
    <t>Instructional Management</t>
  </si>
  <si>
    <t>Deans, Directors &amp; Coordinators</t>
  </si>
  <si>
    <t>CFO / Director of Finance</t>
  </si>
  <si>
    <t>Operation / Business Manager</t>
  </si>
  <si>
    <t>Administrative Staff</t>
  </si>
  <si>
    <t>TOTAL ADMINISTRATIVE STAFF</t>
  </si>
  <si>
    <t>INSTRUCTIONAL PERSONNEL COSTS</t>
  </si>
  <si>
    <t>Teachers - Regular</t>
  </si>
  <si>
    <t>Teachers - SPED</t>
  </si>
  <si>
    <t>Substitute Teachers</t>
  </si>
  <si>
    <t>Teaching Assistants</t>
  </si>
  <si>
    <t>Specialty Teachers</t>
  </si>
  <si>
    <t>Aides</t>
  </si>
  <si>
    <t>Therapists &amp; Counselors</t>
  </si>
  <si>
    <t>TOTAL INSTRUCTIONAL</t>
  </si>
  <si>
    <t>NON-INSTRUCTIONAL PERSONNEL COSTS</t>
  </si>
  <si>
    <t>Nurse</t>
  </si>
  <si>
    <t>Librarian</t>
  </si>
  <si>
    <t>Custodian</t>
  </si>
  <si>
    <t>Security</t>
  </si>
  <si>
    <t>TOTAL NON-INSTRUCTIONAL</t>
  </si>
  <si>
    <t>SUBTOTAL PERSONNEL SERVICE COSTS</t>
  </si>
  <si>
    <t>PAYROLL TAXES AND BENEFITS</t>
  </si>
  <si>
    <t>Payroll Taxes</t>
  </si>
  <si>
    <t>Fringe / Employee Benefits</t>
  </si>
  <si>
    <t>Retirement / Pension</t>
  </si>
  <si>
    <t>TOTAL PAYROLL TAXES AND BENEFITS</t>
  </si>
  <si>
    <t>TOTAL PERSONNEL SERVICE COSTS</t>
  </si>
  <si>
    <t>CONTRACTED SERVICES</t>
  </si>
  <si>
    <t xml:space="preserve">Accounting / Audit </t>
  </si>
  <si>
    <t>Legal</t>
  </si>
  <si>
    <t>Management Company Fee</t>
  </si>
  <si>
    <t>Nurse Services</t>
  </si>
  <si>
    <t>Food Service / School Lunch</t>
  </si>
  <si>
    <t>Payroll Services</t>
  </si>
  <si>
    <t>Special Ed Services</t>
  </si>
  <si>
    <t>Titlement Services (i.e. Title I)</t>
  </si>
  <si>
    <t>Other Purchased / Professional / Consulting</t>
  </si>
  <si>
    <t>TOTAL CONTRACTED SERVICES</t>
  </si>
  <si>
    <t>SCHOOL OPERATIONS</t>
  </si>
  <si>
    <t>Board Expenses</t>
  </si>
  <si>
    <t>Classroom / Teaching Supplies &amp; Materials</t>
  </si>
  <si>
    <t>Special Ed Supplies &amp; Materials</t>
  </si>
  <si>
    <t>Textbooks / Workbooks</t>
  </si>
  <si>
    <t>Supplies &amp; Materials other</t>
  </si>
  <si>
    <t>Equipment / Furniture</t>
  </si>
  <si>
    <t xml:space="preserve">Telephone </t>
  </si>
  <si>
    <t>Technology</t>
  </si>
  <si>
    <t>Student Testing &amp; Assessment</t>
  </si>
  <si>
    <t>Field Trips</t>
  </si>
  <si>
    <t>Transportation (student)</t>
  </si>
  <si>
    <t>Student Services - other</t>
  </si>
  <si>
    <t>Office Expense</t>
  </si>
  <si>
    <t>Staff Development</t>
  </si>
  <si>
    <t>Staff Recruitment</t>
  </si>
  <si>
    <t>Student Recruitment / Marketing</t>
  </si>
  <si>
    <t>School Meals / Lunch</t>
  </si>
  <si>
    <t>Travel (Staff)</t>
  </si>
  <si>
    <t>TOTAL SCHOOL OPERATIONS</t>
  </si>
  <si>
    <t>FACILITY OPERATION &amp; MAINTENANCE</t>
  </si>
  <si>
    <t>Insurance</t>
  </si>
  <si>
    <t>Janitorial</t>
  </si>
  <si>
    <t>Building and Land Rent / Lease</t>
  </si>
  <si>
    <t xml:space="preserve">Repairs &amp; Maintenance </t>
  </si>
  <si>
    <t>Utilities</t>
  </si>
  <si>
    <t>TOTAL FACILITY OPERATION &amp; MAINTENANCE</t>
  </si>
  <si>
    <t>DEPRECIATION &amp; AMORTIZATION</t>
  </si>
  <si>
    <t>DISSOLUTION ESCROW &amp; RESERVES / CONTIGENCY</t>
  </si>
  <si>
    <t>TOTAL EXPENSES</t>
  </si>
  <si>
    <t>NET INCOME</t>
  </si>
  <si>
    <t>ENROLLMENT - *School Districts Are Linked To Above Entries*</t>
  </si>
  <si>
    <t>TOTAL ENROLLMENT</t>
  </si>
  <si>
    <t>REVENUE PER PUPIL</t>
  </si>
  <si>
    <t>EXPENSES PER PUPIL</t>
  </si>
  <si>
    <t>TOTAL</t>
  </si>
  <si>
    <t>PROGRAM SERVICES</t>
  </si>
  <si>
    <t>SUPPORT SERVICES</t>
  </si>
  <si>
    <t>REGULAR EDUCATION</t>
  </si>
  <si>
    <t>SPECIAL EDUCATION</t>
  </si>
  <si>
    <t>FUNDRAISING</t>
  </si>
  <si>
    <t>MANAGEMENT &amp; GENERAL</t>
  </si>
  <si>
    <t xml:space="preserve">District of Location </t>
  </si>
  <si>
    <t>NYC-DYCD (Department of Youth and Community Developmt.)</t>
  </si>
  <si>
    <t>Contributions and Donations, Fundraising</t>
  </si>
  <si>
    <t xml:space="preserve">Interest Income, Earnings on Investments, </t>
  </si>
  <si>
    <t>General Instructions and Notes for New Application Budgets and Cash Flows Templates</t>
  </si>
  <si>
    <t xml:space="preserve"> Assumptions</t>
  </si>
  <si>
    <t>DESCRIPTION OF ASSUMPTIONS - Please note assumptions when applicable</t>
  </si>
  <si>
    <t>List exact titles and staff FTE"s ( Full time eqiuilivalent)</t>
  </si>
  <si>
    <t>TOTAL ENROLLED</t>
  </si>
  <si>
    <r>
      <t>CY</t>
    </r>
    <r>
      <rPr>
        <sz val="8"/>
        <rFont val="Arial"/>
        <family val="2"/>
      </rPr>
      <t xml:space="preserve"> Per Pupil Rate</t>
    </r>
  </si>
  <si>
    <t>The Assumptions column should be completed for all revenue and expense items unless the item is self-explanatory. Where applicable, please reference the page number or section in the application narrative that indicates the assumption being made. For instance, student enrollment would reference the applicable page number in Section I, C of the application narrative.</t>
  </si>
  <si>
    <t xml:space="preserve"> Request for Proposals to Establish Charter Schools Authorized by the Board of Regents</t>
  </si>
  <si>
    <r>
      <t>New York State Education Department</t>
    </r>
    <r>
      <rPr>
        <b/>
        <u/>
        <sz val="24"/>
        <color indexed="8"/>
        <rFont val="Arial"/>
        <family val="2"/>
      </rPr>
      <t xml:space="preserve"> </t>
    </r>
  </si>
  <si>
    <r>
      <t xml:space="preserve">Enter information into the </t>
    </r>
    <r>
      <rPr>
        <b/>
        <sz val="11"/>
        <color indexed="23"/>
        <rFont val="Arial"/>
        <family val="2"/>
      </rPr>
      <t>GRAY</t>
    </r>
    <r>
      <rPr>
        <b/>
        <sz val="11"/>
        <rFont val="Arial"/>
        <family val="2"/>
      </rPr>
      <t xml:space="preserve"> </t>
    </r>
    <r>
      <rPr>
        <sz val="11"/>
        <rFont val="Arial"/>
        <family val="2"/>
      </rPr>
      <t>cells</t>
    </r>
  </si>
  <si>
    <r>
      <t>Cells containing</t>
    </r>
    <r>
      <rPr>
        <sz val="11"/>
        <color indexed="10"/>
        <rFont val="Arial"/>
        <family val="2"/>
      </rPr>
      <t xml:space="preserve"> </t>
    </r>
    <r>
      <rPr>
        <b/>
        <sz val="11"/>
        <color indexed="10"/>
        <rFont val="Arial"/>
        <family val="2"/>
      </rPr>
      <t>RED</t>
    </r>
    <r>
      <rPr>
        <sz val="11"/>
        <rFont val="Arial"/>
        <family val="2"/>
      </rPr>
      <t xml:space="preserve"> triangles in the upper right corner in columns B through G contain guidance on that particular item</t>
    </r>
  </si>
  <si>
    <t>Other State Revenue</t>
  </si>
  <si>
    <t>Other Federal Revenue</t>
  </si>
  <si>
    <t>Other Local Revenue</t>
  </si>
  <si>
    <r>
      <t xml:space="preserve">Complete ALL SIX columns in </t>
    </r>
    <r>
      <rPr>
        <sz val="11"/>
        <color indexed="12"/>
        <rFont val="Arial"/>
        <family val="2"/>
      </rPr>
      <t>BLUE</t>
    </r>
  </si>
  <si>
    <t>Please Note: The student enrollment data is entered below in the Enrollment Section beginning in row 155. This will populate the data in row 10.</t>
  </si>
  <si>
    <t>School district per-pupil tuition information is located on the State Aid website at https://stateaid.nysed.gov/charter/.  Rows may be inserted in the worksheet to accomodate additional districts if necessary.</t>
  </si>
  <si>
    <t>PROJECTED BUDGET FOR 2018-2019</t>
  </si>
  <si>
    <t>July 1, 2018 to June 30, 2019</t>
  </si>
  <si>
    <t>2018-19 Budget &amp; Cash Flow Template</t>
  </si>
  <si>
    <t>Growing Up Green Charter School</t>
  </si>
  <si>
    <t xml:space="preserve">Growing Up Green Charter School </t>
  </si>
  <si>
    <t>GENED</t>
  </si>
  <si>
    <t>SPED</t>
  </si>
  <si>
    <t xml:space="preserve">OTHER </t>
  </si>
  <si>
    <t>FUND</t>
  </si>
  <si>
    <t>M&amp;G</t>
  </si>
  <si>
    <t>Program - Gened</t>
  </si>
  <si>
    <t>Program - Sped</t>
  </si>
  <si>
    <t>M &amp; G</t>
  </si>
  <si>
    <t xml:space="preserve">CHECK </t>
  </si>
  <si>
    <t xml:space="preserve">Budget Overview: FY2017-18 - FY18 P&amp;L </t>
  </si>
  <si>
    <t xml:space="preserve"># of Students </t>
  </si>
  <si>
    <t>Methodology (Salary based)</t>
  </si>
  <si>
    <t>July 2017 - June 2018</t>
  </si>
  <si>
    <t>Pupil Based</t>
  </si>
  <si>
    <t>Total</t>
  </si>
  <si>
    <t xml:space="preserve">   4100 State Grants</t>
  </si>
  <si>
    <t xml:space="preserve">      4102 Per Pupil Allocations for SPED</t>
  </si>
  <si>
    <t xml:space="preserve">      4103 Facilities Funding</t>
  </si>
  <si>
    <t xml:space="preserve">      4104 NYSTL</t>
  </si>
  <si>
    <t xml:space="preserve">      4105 NYSSL</t>
  </si>
  <si>
    <t xml:space="preserve">      4106 NYSLIB</t>
  </si>
  <si>
    <t xml:space="preserve">   Total 4100 State Grants</t>
  </si>
  <si>
    <t>x</t>
  </si>
  <si>
    <t xml:space="preserve">   4200 Federal Grants</t>
  </si>
  <si>
    <t xml:space="preserve">      4201 IDEA for Special Education</t>
  </si>
  <si>
    <t xml:space="preserve">      4203 E-Rate for Tech/Comm</t>
  </si>
  <si>
    <t xml:space="preserve">      4204 Title I</t>
  </si>
  <si>
    <t xml:space="preserve">      4206 Title IIA</t>
  </si>
  <si>
    <t xml:space="preserve">      4207 Title III</t>
  </si>
  <si>
    <t xml:space="preserve">   Total 4200 Federal Grants</t>
  </si>
  <si>
    <t xml:space="preserve">   4300 Contributions</t>
  </si>
  <si>
    <t xml:space="preserve">      4304 Unrestricted Contributions</t>
  </si>
  <si>
    <t xml:space="preserve">      4307 Fundraising Events</t>
  </si>
  <si>
    <t xml:space="preserve">   Total 4300 Contributions</t>
  </si>
  <si>
    <t xml:space="preserve">   4400 Miscellaneous Income</t>
  </si>
  <si>
    <t xml:space="preserve">      4401 Interest Income</t>
  </si>
  <si>
    <t xml:space="preserve">   Total 4400 Miscellaneous Income</t>
  </si>
  <si>
    <t>Gross Profit</t>
  </si>
  <si>
    <t>Expenditures</t>
  </si>
  <si>
    <t xml:space="preserve">         5101 Executive Director</t>
  </si>
  <si>
    <t xml:space="preserve">         5102 School Leaders</t>
  </si>
  <si>
    <t xml:space="preserve">         5104 Assistant School Leader</t>
  </si>
  <si>
    <t xml:space="preserve">         5105 Classroom Teachers</t>
  </si>
  <si>
    <t xml:space="preserve">         5106 ELL Teacher</t>
  </si>
  <si>
    <t xml:space="preserve">         5107 Music Teacher</t>
  </si>
  <si>
    <t xml:space="preserve">         5108 Art Teacher</t>
  </si>
  <si>
    <t xml:space="preserve">         5111 Learning Specialist</t>
  </si>
  <si>
    <t xml:space="preserve">         5112 Director of Counseling</t>
  </si>
  <si>
    <t xml:space="preserve">         5113 Science Teacher</t>
  </si>
  <si>
    <t xml:space="preserve">         5114 Physical Education Teacher</t>
  </si>
  <si>
    <t xml:space="preserve">         5115 Associate Teacher</t>
  </si>
  <si>
    <t xml:space="preserve">         5116 Assistant Teacher</t>
  </si>
  <si>
    <t xml:space="preserve">         5117 Language Teacher</t>
  </si>
  <si>
    <t xml:space="preserve">         5118 Miscellaneous Salary</t>
  </si>
  <si>
    <t xml:space="preserve">         5119 Behavior &amp; Student Life Coordinator</t>
  </si>
  <si>
    <t xml:space="preserve">         5120 Theater Teacher</t>
  </si>
  <si>
    <t xml:space="preserve">         5123 Assessment Coordinator</t>
  </si>
  <si>
    <t xml:space="preserve">         5124 ELL Coordinator</t>
  </si>
  <si>
    <t xml:space="preserve">         5127 Math Coordinator</t>
  </si>
  <si>
    <t xml:space="preserve">         5134 In-House Substitute</t>
  </si>
  <si>
    <t xml:space="preserve">         5136 Director of Support Services</t>
  </si>
  <si>
    <t xml:space="preserve">         5138 ED Time Coordinator</t>
  </si>
  <si>
    <t xml:space="preserve">         5139 Literacy Coordinator</t>
  </si>
  <si>
    <t xml:space="preserve">         5140 School Counselor</t>
  </si>
  <si>
    <t xml:space="preserve">      Total 5100 Instructional Staff</t>
  </si>
  <si>
    <t xml:space="preserve">         5201 Director of Operations</t>
  </si>
  <si>
    <t xml:space="preserve">         5202 Director of Finance</t>
  </si>
  <si>
    <t xml:space="preserve">         5203 Operations Manager</t>
  </si>
  <si>
    <t xml:space="preserve">         5204 Office Manager</t>
  </si>
  <si>
    <t xml:space="preserve">         5207 Facilities &amp; Security Manager</t>
  </si>
  <si>
    <t>Non-Instructional Other</t>
  </si>
  <si>
    <t xml:space="preserve">         5208 Buildings &amp; Grounds Custodian</t>
  </si>
  <si>
    <t xml:space="preserve">         5209 Security Guard</t>
  </si>
  <si>
    <t xml:space="preserve">         5211 Office Assistant</t>
  </si>
  <si>
    <t xml:space="preserve">         5214 Program Coordinator</t>
  </si>
  <si>
    <t xml:space="preserve">         5215 Parent Coordinator</t>
  </si>
  <si>
    <t xml:space="preserve">         5216 Administrative Personnel Manager</t>
  </si>
  <si>
    <t xml:space="preserve">         5217 IT Coordinator</t>
  </si>
  <si>
    <t xml:space="preserve">         5218 Executive Assistant</t>
  </si>
  <si>
    <t xml:space="preserve">         5219 Assistant Facilities Manager</t>
  </si>
  <si>
    <t xml:space="preserve">      Total 5200 Non-Instructional Staff</t>
  </si>
  <si>
    <t xml:space="preserve">      5300 Incentives</t>
  </si>
  <si>
    <t xml:space="preserve">         5304 Stipend</t>
  </si>
  <si>
    <t>INSTRUCTIONAL PERSONNEL COSTS Other</t>
  </si>
  <si>
    <t xml:space="preserve">         5306 After School Stipends</t>
  </si>
  <si>
    <t xml:space="preserve">         5313 Maternity Leave Stipends</t>
  </si>
  <si>
    <t xml:space="preserve">   Total Personnel</t>
  </si>
  <si>
    <t xml:space="preserve">   5400 Benefits</t>
  </si>
  <si>
    <t xml:space="preserve">      5402 NY State Unemployment Insurance</t>
  </si>
  <si>
    <t xml:space="preserve">      5403 Social Security- EmployER Expense</t>
  </si>
  <si>
    <t xml:space="preserve">      5405 Medicare - EmployER Expenses</t>
  </si>
  <si>
    <t xml:space="preserve">      5407 TransitChek Fees</t>
  </si>
  <si>
    <t xml:space="preserve">      5408 Worker's Compensation Expense</t>
  </si>
  <si>
    <t xml:space="preserve">      5409 NY Disability</t>
  </si>
  <si>
    <t xml:space="preserve">      5410 Medical Insurance</t>
  </si>
  <si>
    <t xml:space="preserve">      5411 Dental Insurance</t>
  </si>
  <si>
    <t xml:space="preserve">      5414 Difference Card Healthcare Supplement</t>
  </si>
  <si>
    <t xml:space="preserve">      5416 STD, LTD, Life Ins. and NYS Disability Insurance</t>
  </si>
  <si>
    <t xml:space="preserve">      5417 Retirement 401(K)</t>
  </si>
  <si>
    <t xml:space="preserve">      5418 401(k) Matching</t>
  </si>
  <si>
    <t xml:space="preserve">   Total 5400 Benefits</t>
  </si>
  <si>
    <t xml:space="preserve">   6100 Administrative Expenses</t>
  </si>
  <si>
    <t xml:space="preserve">      6101 Office Supplies- General</t>
  </si>
  <si>
    <t xml:space="preserve">      6102 Office Furniture (Non-Asset)</t>
  </si>
  <si>
    <t>Equipment / Furniture - Facility Operation &amp; Maintenance</t>
  </si>
  <si>
    <t xml:space="preserve">      6103 Office Equipment (Non-Asset)</t>
  </si>
  <si>
    <t xml:space="preserve">      6104 Copier &amp; Printer</t>
  </si>
  <si>
    <t xml:space="preserve">      6105 Copy Machine Lease</t>
  </si>
  <si>
    <t xml:space="preserve">      6106 Janitorial Supplies</t>
  </si>
  <si>
    <t xml:space="preserve">      6107 Postage and Delivery</t>
  </si>
  <si>
    <t xml:space="preserve">      6108 Insurance - General</t>
  </si>
  <si>
    <t xml:space="preserve">      6109 Insurance - ERISA</t>
  </si>
  <si>
    <t xml:space="preserve">      6110 Subscriptions</t>
  </si>
  <si>
    <t>School Operations Other</t>
  </si>
  <si>
    <t xml:space="preserve">      6111 Student Uniforms/Apparel</t>
  </si>
  <si>
    <t xml:space="preserve">      6112 Student Meals/Snacks</t>
  </si>
  <si>
    <t xml:space="preserve">      6113 Team Building/Staff Appreciation</t>
  </si>
  <si>
    <t xml:space="preserve">   Total 6100 Administrative Expenses</t>
  </si>
  <si>
    <t xml:space="preserve">   6200 Professional Services</t>
  </si>
  <si>
    <t xml:space="preserve">      6202 Audit Fees</t>
  </si>
  <si>
    <t xml:space="preserve">      6203 Payroll Services</t>
  </si>
  <si>
    <t xml:space="preserve">      6204 Legal Services- Paid</t>
  </si>
  <si>
    <t xml:space="preserve">      6207 Financial Management Services</t>
  </si>
  <si>
    <t xml:space="preserve">      6208 Custodial Services</t>
  </si>
  <si>
    <t xml:space="preserve">      6210 Substitute Teacher Services</t>
  </si>
  <si>
    <t xml:space="preserve">      6213 Temporary Staffing Services</t>
  </si>
  <si>
    <t xml:space="preserve">      6215 ELL Consultant</t>
  </si>
  <si>
    <t xml:space="preserve">      6220 E-Rate</t>
  </si>
  <si>
    <t xml:space="preserve">      6221 Grant Consulting/Writing</t>
  </si>
  <si>
    <t xml:space="preserve">      6222 Enrichment Program</t>
  </si>
  <si>
    <t xml:space="preserve">      6225 Transportation Service Staff/Students</t>
  </si>
  <si>
    <t xml:space="preserve">   Total 6200 Professional Services</t>
  </si>
  <si>
    <t xml:space="preserve">   6300 Professional Development</t>
  </si>
  <si>
    <t xml:space="preserve">         6312 Environmental Staff Development</t>
  </si>
  <si>
    <t xml:space="preserve">         6313 Instructional Staff PD</t>
  </si>
  <si>
    <t xml:space="preserve">         6316 Literacy PD</t>
  </si>
  <si>
    <t xml:space="preserve">         6317 Math PD</t>
  </si>
  <si>
    <t xml:space="preserve">      6320 Non-Instructional Staff PD</t>
  </si>
  <si>
    <t xml:space="preserve">      6321 Board Expenses</t>
  </si>
  <si>
    <t xml:space="preserve">   Total 6300 Professional Development</t>
  </si>
  <si>
    <t xml:space="preserve">   6400 Marketing and Staff/Student Rec</t>
  </si>
  <si>
    <t xml:space="preserve">      6402 Staff Recruiting</t>
  </si>
  <si>
    <t xml:space="preserve">      6403 Student Recruiting</t>
  </si>
  <si>
    <t xml:space="preserve">   Total 6400 Marketing and Staff/Student Rec</t>
  </si>
  <si>
    <t xml:space="preserve">   6500 Fundraising Expenses</t>
  </si>
  <si>
    <t xml:space="preserve">      6501 General Fundraising Expenses</t>
  </si>
  <si>
    <t xml:space="preserve">   Total 6500 Fundraising Expenses</t>
  </si>
  <si>
    <t xml:space="preserve">   7100 Curriculum &amp; Classroom Expenses</t>
  </si>
  <si>
    <t xml:space="preserve">      7101 Library Materials</t>
  </si>
  <si>
    <t xml:space="preserve">      7102 Curriculum Textbooks &amp; Other Curricula</t>
  </si>
  <si>
    <t xml:space="preserve">      7103 Educational Materials- General</t>
  </si>
  <si>
    <t xml:space="preserve">      7104 Educational Materials- Special Education</t>
  </si>
  <si>
    <t xml:space="preserve">      7105 Educational Materials- ELL</t>
  </si>
  <si>
    <t xml:space="preserve">      7108 Student Field Trips</t>
  </si>
  <si>
    <t xml:space="preserve">      7109 Classroom Supplies- General</t>
  </si>
  <si>
    <t xml:space="preserve">      7111 Classroom Supplies- Social Work</t>
  </si>
  <si>
    <t xml:space="preserve">      7112 Sport Equipment</t>
  </si>
  <si>
    <t xml:space="preserve">      7113 Science Supplies</t>
  </si>
  <si>
    <t xml:space="preserve">      7115 Art Supplies</t>
  </si>
  <si>
    <t xml:space="preserve">      7116 NYSTL Expense</t>
  </si>
  <si>
    <t xml:space="preserve">      7117 NYSSL Expense</t>
  </si>
  <si>
    <t xml:space="preserve">      7118 NYSLIB Expense</t>
  </si>
  <si>
    <t xml:space="preserve">      7122 Family Events</t>
  </si>
  <si>
    <t xml:space="preserve">      7124 After School Clubs</t>
  </si>
  <si>
    <t xml:space="preserve">   Total 7100 Curriculum &amp; Classroom Expenses</t>
  </si>
  <si>
    <t xml:space="preserve">   8100 Facility</t>
  </si>
  <si>
    <t xml:space="preserve">      8103 Electricity</t>
  </si>
  <si>
    <t xml:space="preserve">      8106 Fire Detection/Suppresion/Central Station</t>
  </si>
  <si>
    <t xml:space="preserve">      8107 Extermination Contract</t>
  </si>
  <si>
    <t xml:space="preserve">      8108 Contracted Security/Security Expenses</t>
  </si>
  <si>
    <t>Security Contract</t>
  </si>
  <si>
    <t xml:space="preserve">      8109 Miscellaneous Repairs</t>
  </si>
  <si>
    <t xml:space="preserve">   Total 8100 Facility</t>
  </si>
  <si>
    <t xml:space="preserve">   8200 Technology/Communication Expens</t>
  </si>
  <si>
    <t xml:space="preserve">      8201 Telephone</t>
  </si>
  <si>
    <t xml:space="preserve">      8204 Mobile Phone Expenses</t>
  </si>
  <si>
    <t xml:space="preserve">      8205 Internet Connectivity Expenses</t>
  </si>
  <si>
    <t xml:space="preserve">      8206 Network Maintenance/Tech Support Services</t>
  </si>
  <si>
    <t xml:space="preserve">      8207 Database Development Services (SIS)</t>
  </si>
  <si>
    <t xml:space="preserve">      8209 Technology Supplies</t>
  </si>
  <si>
    <t xml:space="preserve">   Total 8200 Technology/Communication Expens</t>
  </si>
  <si>
    <t xml:space="preserve">   8900 Depreciation Expenses</t>
  </si>
  <si>
    <t xml:space="preserve">      5101 Executive Director</t>
  </si>
  <si>
    <t xml:space="preserve">      5102 School Leader</t>
  </si>
  <si>
    <t xml:space="preserve">      5104 Assistant School Leader</t>
  </si>
  <si>
    <t xml:space="preserve">      5105 Classroom Teachers</t>
  </si>
  <si>
    <t xml:space="preserve">      5106 ELL Teacher</t>
  </si>
  <si>
    <t xml:space="preserve">      5108 Art Teacher</t>
  </si>
  <si>
    <t xml:space="preserve">      5111 Learning Specialist</t>
  </si>
  <si>
    <t xml:space="preserve">      5112 Director of Counseling</t>
  </si>
  <si>
    <t xml:space="preserve">      5113 Science Teacher</t>
  </si>
  <si>
    <t xml:space="preserve">      5114 Physical Education Teacher</t>
  </si>
  <si>
    <t xml:space="preserve">      5121 Intervention Teachers</t>
  </si>
  <si>
    <t xml:space="preserve">      5136 Director of Support Services</t>
  </si>
  <si>
    <t xml:space="preserve">      5137 Dean of Students</t>
  </si>
  <si>
    <t xml:space="preserve">      5138 ED Time Coordinator</t>
  </si>
  <si>
    <t xml:space="preserve">      5140 School Counselor</t>
  </si>
  <si>
    <t xml:space="preserve">      5142 Classroom Teachers (ICT)</t>
  </si>
  <si>
    <t xml:space="preserve">      5143 Classroom Teachers (UPK)</t>
  </si>
  <si>
    <t xml:space="preserve">      5144 Associate Teachers (UPK)</t>
  </si>
  <si>
    <t>Income</t>
  </si>
  <si>
    <t xml:space="preserve">      4101 Per Pupil Allocations</t>
  </si>
  <si>
    <t xml:space="preserve">      4109 Special School Senate Aid</t>
  </si>
  <si>
    <t xml:space="preserve">      4309 After School Clubs</t>
  </si>
  <si>
    <t>Total Income</t>
  </si>
  <si>
    <t xml:space="preserve">         5133 IEP Support Services Coordinator</t>
  </si>
  <si>
    <t xml:space="preserve">         5137 Dean of Students &amp; Behavior Management Coordinator</t>
  </si>
  <si>
    <t xml:space="preserve">      5200 Non-Instructional Staff</t>
  </si>
  <si>
    <t xml:space="preserve">         5220 Director of Recruitment</t>
  </si>
  <si>
    <t xml:space="preserve">         5221 Operations Associate</t>
  </si>
  <si>
    <t xml:space="preserve">         5222 IT Assistant</t>
  </si>
  <si>
    <t xml:space="preserve">         5223 Receptionist</t>
  </si>
  <si>
    <t xml:space="preserve">         5308 Operations Dept OT</t>
  </si>
  <si>
    <t xml:space="preserve">      Total 5300 Incentives</t>
  </si>
  <si>
    <t xml:space="preserve">      6310 Staff Development</t>
  </si>
  <si>
    <t xml:space="preserve">      Total 6310 Staff Development</t>
  </si>
  <si>
    <t xml:space="preserve">      7106 Instructional Furniture &amp; Equipment</t>
  </si>
  <si>
    <t xml:space="preserve">      7107 Standardized Test Materials/Assessment Expenses</t>
  </si>
  <si>
    <t xml:space="preserve">      7114 Music &amp;  Language Supplies</t>
  </si>
  <si>
    <t xml:space="preserve">      8101 Rent</t>
  </si>
  <si>
    <t xml:space="preserve">      8102 Rent (Middle School)</t>
  </si>
  <si>
    <t xml:space="preserve">      8104 Oil</t>
  </si>
  <si>
    <t xml:space="preserve">      8105 Gas</t>
  </si>
  <si>
    <t xml:space="preserve">      8115 Rent - Middle School Gym</t>
  </si>
  <si>
    <t xml:space="preserve">      8208 Website Consultants/Expenses</t>
  </si>
  <si>
    <t>Net Operating Income</t>
  </si>
  <si>
    <t xml:space="preserve">      5100 Instructional Staff</t>
  </si>
  <si>
    <t>3 School leaders, one assistant school leader</t>
  </si>
  <si>
    <t>Director of Finance and Personnel</t>
  </si>
  <si>
    <t>Classroom teachers</t>
  </si>
  <si>
    <t>One in house substitute</t>
  </si>
  <si>
    <t>Associate and Assistant Teachers</t>
  </si>
  <si>
    <t>Director of Counseling, 4 school counselors</t>
  </si>
  <si>
    <t>Stipends for after school, maternity, curriculum writing</t>
  </si>
  <si>
    <t>ELL, Music, Art, Phys Ed, Learning Specialists</t>
  </si>
  <si>
    <t>Facilities Manager shared w/GUGII</t>
  </si>
  <si>
    <t>Executive director shared w/GUGII</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</si>
</sst>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_(* \(#,##0\);_(* &quot;-&quot;_);_(@_)"/>
    <numFmt numFmtId="44" formatCode="_(&quot;$&quot;* #,##0.00_);_(&quot;$&quot;* \(#,##0.00\);_(&quot;$&quot;* &quot;-&quot;??_);_(@_)"/>
    <numFmt numFmtId="43" formatCode="_(* #,##0.00_);_(* \(#,##0.00\);_(* &quot;-&quot;??_);_(@_)"/>
    <numFmt numFmtId="164" formatCode="_(* #,##0.00_);_(* \(#,##0.00\);_(* &quot;-&quot;_);_(@_)"/>
    <numFmt numFmtId="165" formatCode="#,##0.00;[Red]\(#,##0.00\)"/>
    <numFmt numFmtId="166" formatCode="_(* #,##0_);_(* \(#,##0\);_(* &quot;-&quot;??_);_(@_)"/>
    <numFmt numFmtId="167" formatCode="&quot;$&quot;#,##0.00"/>
    <numFmt numFmtId="168" formatCode="#,##0.00\ _€"/>
    <numFmt numFmtId="169" formatCode="&quot;$&quot;* #,##0.00\ _€"/>
    <numFmt numFmtId="170" formatCode="&quot;$&quot;* #,##0.00"/>
  </numFmts>
  <fonts count="75" x14ac:knownFonts="1">
    <font>
      <sz val="11"/>
      <name val="Arial"/>
    </font>
    <font>
      <sz val="11"/>
      <name val="Arial"/>
      <family val="2"/>
    </font>
    <font>
      <sz val="8"/>
      <name val="Arial"/>
      <family val="2"/>
    </font>
    <font>
      <sz val="8"/>
      <name val="Arial"/>
      <family val="2"/>
    </font>
    <font>
      <sz val="8"/>
      <color indexed="8"/>
      <name val="Arial"/>
      <family val="2"/>
    </font>
    <font>
      <u val="singleAccounting"/>
      <sz val="8"/>
      <name val="Arial"/>
      <family val="2"/>
    </font>
    <font>
      <b/>
      <sz val="8"/>
      <color indexed="81"/>
      <name val="Tahoma"/>
      <family val="2"/>
    </font>
    <font>
      <sz val="8"/>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0"/>
      <color indexed="9"/>
      <name val="Arial"/>
      <family val="2"/>
    </font>
    <font>
      <b/>
      <sz val="8"/>
      <color indexed="9"/>
      <name val="Arial"/>
      <family val="2"/>
    </font>
    <font>
      <b/>
      <sz val="8"/>
      <color indexed="8"/>
      <name val="Arial"/>
      <family val="2"/>
    </font>
    <font>
      <b/>
      <sz val="8"/>
      <color indexed="8"/>
      <name val="Courier New"/>
      <family val="3"/>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b/>
      <sz val="10"/>
      <color indexed="8"/>
      <name val="Arial"/>
      <family val="2"/>
    </font>
    <font>
      <sz val="11"/>
      <color indexed="52"/>
      <name val="Calibri"/>
      <family val="2"/>
    </font>
    <font>
      <sz val="11"/>
      <color indexed="60"/>
      <name val="Calibri"/>
      <family val="2"/>
    </font>
    <font>
      <sz val="10"/>
      <name val="Arial"/>
      <family val="2"/>
    </font>
    <font>
      <b/>
      <sz val="11"/>
      <color indexed="63"/>
      <name val="Calibri"/>
      <family val="2"/>
    </font>
    <font>
      <sz val="10"/>
      <color indexed="8"/>
      <name val="Arial"/>
      <family val="2"/>
    </font>
    <font>
      <b/>
      <i/>
      <sz val="10"/>
      <color indexed="8"/>
      <name val="Arial"/>
      <family val="2"/>
    </font>
    <font>
      <b/>
      <sz val="10"/>
      <color indexed="17"/>
      <name val="Arial"/>
      <family val="2"/>
    </font>
    <font>
      <b/>
      <sz val="10"/>
      <color indexed="13"/>
      <name val="Arial"/>
      <family val="2"/>
    </font>
    <font>
      <b/>
      <sz val="12"/>
      <color indexed="8"/>
      <name val="Arial"/>
      <family val="2"/>
    </font>
    <font>
      <sz val="8"/>
      <color indexed="12"/>
      <name val="Arial"/>
      <family val="2"/>
    </font>
    <font>
      <sz val="10"/>
      <color indexed="8"/>
      <name val="Arial"/>
      <family val="2"/>
    </font>
    <font>
      <b/>
      <sz val="18"/>
      <color indexed="56"/>
      <name val="Cambria"/>
      <family val="2"/>
    </font>
    <font>
      <b/>
      <sz val="11"/>
      <color indexed="8"/>
      <name val="Calibri"/>
      <family val="2"/>
    </font>
    <font>
      <sz val="8"/>
      <color indexed="8"/>
      <name val="Wingdings"/>
      <charset val="2"/>
    </font>
    <font>
      <sz val="11"/>
      <color indexed="10"/>
      <name val="Calibri"/>
      <family val="2"/>
    </font>
    <font>
      <b/>
      <sz val="9"/>
      <color indexed="81"/>
      <name val="Tahoma"/>
      <family val="2"/>
    </font>
    <font>
      <sz val="9"/>
      <color indexed="81"/>
      <name val="Tahoma"/>
      <family val="2"/>
    </font>
    <font>
      <sz val="11"/>
      <color indexed="60"/>
      <name val="Arial"/>
      <family val="2"/>
    </font>
    <font>
      <sz val="11"/>
      <name val="Arial"/>
      <family val="2"/>
    </font>
    <font>
      <i/>
      <sz val="8"/>
      <color indexed="60"/>
      <name val="Arial"/>
      <family val="2"/>
    </font>
    <font>
      <b/>
      <sz val="11"/>
      <name val="Arial"/>
      <family val="2"/>
    </font>
    <font>
      <b/>
      <sz val="12"/>
      <color indexed="60"/>
      <name val="Arial"/>
      <family val="2"/>
    </font>
    <font>
      <sz val="12"/>
      <color indexed="60"/>
      <name val="Arial"/>
      <family val="2"/>
    </font>
    <font>
      <b/>
      <sz val="12"/>
      <name val="Arial"/>
      <family val="2"/>
    </font>
    <font>
      <b/>
      <sz val="8"/>
      <name val="Arial"/>
      <family val="2"/>
    </font>
    <font>
      <b/>
      <i/>
      <sz val="8"/>
      <name val="Arial"/>
      <family val="2"/>
    </font>
    <font>
      <u/>
      <sz val="24"/>
      <color indexed="62"/>
      <name val="Arial"/>
      <family val="2"/>
    </font>
    <font>
      <b/>
      <u/>
      <sz val="24"/>
      <color indexed="8"/>
      <name val="Arial"/>
      <family val="2"/>
    </font>
    <font>
      <u/>
      <sz val="11"/>
      <name val="Arial"/>
      <family val="2"/>
    </font>
    <font>
      <b/>
      <sz val="14"/>
      <color indexed="54"/>
      <name val="Arial"/>
      <family val="2"/>
    </font>
    <font>
      <i/>
      <u/>
      <sz val="11"/>
      <color indexed="54"/>
      <name val="Arial"/>
      <family val="2"/>
    </font>
    <font>
      <b/>
      <sz val="16"/>
      <name val="Arial"/>
      <family val="2"/>
    </font>
    <font>
      <sz val="11"/>
      <color indexed="12"/>
      <name val="Arial"/>
      <family val="2"/>
    </font>
    <font>
      <b/>
      <sz val="11"/>
      <color indexed="23"/>
      <name val="Arial"/>
      <family val="2"/>
    </font>
    <font>
      <sz val="11"/>
      <color indexed="10"/>
      <name val="Arial"/>
      <family val="2"/>
    </font>
    <font>
      <b/>
      <sz val="11"/>
      <color indexed="10"/>
      <name val="Arial"/>
      <family val="2"/>
    </font>
    <font>
      <b/>
      <u/>
      <sz val="8"/>
      <name val="Arial"/>
      <family val="2"/>
    </font>
    <font>
      <b/>
      <sz val="8"/>
      <color theme="0"/>
      <name val="Arial"/>
      <family val="2"/>
    </font>
    <font>
      <sz val="8"/>
      <color theme="0"/>
      <name val="Arial"/>
      <family val="2"/>
    </font>
    <font>
      <b/>
      <sz val="12"/>
      <color rgb="FF0000FF"/>
      <name val="Arial"/>
      <family val="2"/>
    </font>
    <font>
      <b/>
      <sz val="14"/>
      <color indexed="8"/>
      <name val="Arial"/>
    </font>
    <font>
      <b/>
      <sz val="10"/>
      <color theme="0"/>
      <name val="Calibri"/>
      <family val="2"/>
      <scheme val="minor"/>
    </font>
    <font>
      <sz val="10"/>
      <name val="Calibri"/>
      <family val="2"/>
      <scheme val="minor"/>
    </font>
    <font>
      <b/>
      <u/>
      <sz val="10"/>
      <color theme="0"/>
      <name val="Calibri"/>
      <family val="2"/>
      <scheme val="minor"/>
    </font>
    <font>
      <b/>
      <sz val="10"/>
      <color indexed="8"/>
      <name val="Arial"/>
    </font>
    <font>
      <b/>
      <sz val="9"/>
      <color indexed="8"/>
      <name val="Arial"/>
    </font>
    <font>
      <b/>
      <sz val="8"/>
      <color indexed="8"/>
      <name val="Arial"/>
    </font>
    <font>
      <sz val="8"/>
      <color indexed="8"/>
      <name val="Arial"/>
    </font>
    <font>
      <b/>
      <sz val="10"/>
      <name val="Calibri"/>
      <family val="2"/>
      <scheme val="minor"/>
    </font>
    <font>
      <b/>
      <sz val="10"/>
      <color rgb="FF000000"/>
      <name val="Calibri"/>
      <family val="2"/>
      <scheme val="minor"/>
    </font>
    <font>
      <sz val="8"/>
      <name val="Calibri"/>
      <family val="2"/>
      <scheme val="minor"/>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2"/>
      </patternFill>
    </fill>
    <fill>
      <patternFill patternType="solid">
        <fgColor indexed="9"/>
      </patternFill>
    </fill>
    <fill>
      <patternFill patternType="solid">
        <fgColor indexed="43"/>
      </patternFill>
    </fill>
    <fill>
      <patternFill patternType="solid">
        <fgColor indexed="26"/>
      </patternFill>
    </fill>
    <fill>
      <patternFill patternType="solid">
        <fgColor indexed="13"/>
      </patternFill>
    </fill>
    <fill>
      <patternFill patternType="solid">
        <fgColor indexed="17"/>
      </patternFill>
    </fill>
    <fill>
      <patternFill patternType="solid">
        <fgColor indexed="65"/>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00206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2" tint="-0.249977111117893"/>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499984740745262"/>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top style="medium">
        <color indexed="64"/>
      </top>
      <bottom style="thin">
        <color theme="0" tint="-0.499984740745262"/>
      </bottom>
      <diagonal/>
    </border>
    <border>
      <left style="thin">
        <color theme="0" tint="-0.499984740745262"/>
      </left>
      <right/>
      <top style="thin">
        <color theme="0" tint="-0.499984740745262"/>
      </top>
      <bottom style="medium">
        <color indexed="64"/>
      </bottom>
      <diagonal/>
    </border>
    <border>
      <left/>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right/>
      <top/>
      <bottom style="thin">
        <color auto="1"/>
      </bottom>
      <diagonal/>
    </border>
    <border>
      <left style="hair">
        <color indexed="64"/>
      </left>
      <right style="hair">
        <color indexed="64"/>
      </right>
      <top style="hair">
        <color indexed="64"/>
      </top>
      <bottom style="hair">
        <color indexed="64"/>
      </bottom>
      <diagonal/>
    </border>
  </borders>
  <cellStyleXfs count="76">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0" fontId="13" fillId="22" borderId="0">
      <alignment horizontal="left"/>
    </xf>
    <xf numFmtId="0" fontId="14" fillId="22" borderId="0">
      <alignment horizontal="right"/>
    </xf>
    <xf numFmtId="0" fontId="15" fillId="23" borderId="0">
      <alignment horizontal="center"/>
    </xf>
    <xf numFmtId="0" fontId="14" fillId="22" borderId="0">
      <alignment horizontal="right"/>
    </xf>
    <xf numFmtId="0" fontId="16" fillId="23" borderId="0">
      <alignment horizontal="left"/>
    </xf>
    <xf numFmtId="43" fontId="1" fillId="0" borderId="0" applyFont="0" applyFill="0" applyBorder="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2" fillId="7" borderId="1" applyNumberFormat="0" applyAlignment="0" applyProtection="0"/>
    <xf numFmtId="0" fontId="13" fillId="22" borderId="0">
      <alignment horizontal="left"/>
    </xf>
    <xf numFmtId="0" fontId="23" fillId="23" borderId="0">
      <alignment horizontal="left"/>
    </xf>
    <xf numFmtId="0" fontId="24" fillId="0" borderId="6" applyNumberFormat="0" applyFill="0" applyAlignment="0" applyProtection="0"/>
    <xf numFmtId="0" fontId="25" fillId="24" borderId="0" applyNumberFormat="0" applyBorder="0" applyAlignment="0" applyProtection="0"/>
    <xf numFmtId="0" fontId="26" fillId="0" borderId="0"/>
    <xf numFmtId="0" fontId="8" fillId="25" borderId="7" applyNumberFormat="0" applyFont="0" applyAlignment="0" applyProtection="0"/>
    <xf numFmtId="0" fontId="27" fillId="20" borderId="8" applyNumberFormat="0" applyAlignment="0" applyProtection="0"/>
    <xf numFmtId="165" fontId="28" fillId="23" borderId="0">
      <alignment horizontal="right"/>
    </xf>
    <xf numFmtId="0" fontId="29" fillId="26" borderId="0">
      <alignment horizontal="center"/>
    </xf>
    <xf numFmtId="0" fontId="13" fillId="27" borderId="0"/>
    <xf numFmtId="0" fontId="30" fillId="23" borderId="0" applyBorder="0">
      <alignment horizontal="centerContinuous"/>
    </xf>
    <xf numFmtId="0" fontId="31" fillId="27" borderId="0" applyBorder="0">
      <alignment horizontal="centerContinuous"/>
    </xf>
    <xf numFmtId="0" fontId="23" fillId="24" borderId="0">
      <alignment horizontal="center"/>
    </xf>
    <xf numFmtId="49" fontId="32" fillId="23" borderId="0">
      <alignment horizontal="center"/>
    </xf>
    <xf numFmtId="0" fontId="14" fillId="22" borderId="0">
      <alignment horizontal="center"/>
    </xf>
    <xf numFmtId="0" fontId="14" fillId="22" borderId="0">
      <alignment horizontal="centerContinuous"/>
    </xf>
    <xf numFmtId="0" fontId="4" fillId="23" borderId="0">
      <alignment horizontal="left"/>
    </xf>
    <xf numFmtId="49" fontId="4" fillId="23" borderId="0">
      <alignment horizontal="center"/>
    </xf>
    <xf numFmtId="0" fontId="13" fillId="22" borderId="0">
      <alignment horizontal="left"/>
    </xf>
    <xf numFmtId="49" fontId="4" fillId="23" borderId="0">
      <alignment horizontal="left"/>
    </xf>
    <xf numFmtId="0" fontId="13" fillId="22" borderId="0">
      <alignment horizontal="centerContinuous"/>
    </xf>
    <xf numFmtId="0" fontId="13" fillId="22" borderId="0">
      <alignment horizontal="right"/>
    </xf>
    <xf numFmtId="49" fontId="23" fillId="23" borderId="0">
      <alignment horizontal="left"/>
    </xf>
    <xf numFmtId="0" fontId="14" fillId="22" borderId="0">
      <alignment horizontal="right"/>
    </xf>
    <xf numFmtId="0" fontId="4" fillId="7" borderId="0">
      <alignment horizontal="center"/>
    </xf>
    <xf numFmtId="0" fontId="33" fillId="7" borderId="0">
      <alignment horizontal="center"/>
    </xf>
    <xf numFmtId="0" fontId="34" fillId="0" borderId="0" applyNumberFormat="0" applyBorder="0" applyAlignment="0"/>
    <xf numFmtId="0" fontId="35" fillId="0" borderId="0" applyNumberFormat="0" applyFill="0" applyBorder="0" applyAlignment="0" applyProtection="0"/>
    <xf numFmtId="0" fontId="36" fillId="0" borderId="9" applyNumberFormat="0" applyFill="0" applyAlignment="0" applyProtection="0"/>
    <xf numFmtId="0" fontId="37" fillId="23" borderId="0">
      <alignment horizontal="center"/>
    </xf>
    <xf numFmtId="0" fontId="38" fillId="0" borderId="0" applyNumberFormat="0" applyFill="0" applyBorder="0" applyAlignment="0" applyProtection="0"/>
    <xf numFmtId="44" fontId="26"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43" fontId="26" fillId="0" borderId="0" applyFont="0" applyFill="0" applyBorder="0" applyAlignment="0" applyProtection="0"/>
  </cellStyleXfs>
  <cellXfs count="208">
    <xf numFmtId="0" fontId="0" fillId="0" borderId="0" xfId="0"/>
    <xf numFmtId="0" fontId="41" fillId="28" borderId="10" xfId="0" applyFont="1" applyFill="1" applyBorder="1"/>
    <xf numFmtId="0" fontId="45" fillId="0" borderId="10" xfId="0" applyFont="1" applyFill="1" applyBorder="1" applyAlignment="1">
      <alignment horizontal="left"/>
    </xf>
    <xf numFmtId="0" fontId="46" fillId="0" borderId="10" xfId="0" applyFont="1" applyFill="1" applyBorder="1"/>
    <xf numFmtId="0" fontId="44" fillId="28" borderId="0" xfId="0" quotePrefix="1" applyFont="1" applyFill="1" applyBorder="1" applyAlignment="1">
      <alignment horizontal="center"/>
    </xf>
    <xf numFmtId="0" fontId="42" fillId="28" borderId="0" xfId="0" applyFont="1" applyFill="1" applyBorder="1"/>
    <xf numFmtId="0" fontId="50" fillId="0" borderId="0" xfId="0" applyFont="1" applyBorder="1" applyAlignment="1"/>
    <xf numFmtId="0" fontId="52" fillId="28" borderId="0" xfId="0" applyFont="1" applyFill="1" applyBorder="1"/>
    <xf numFmtId="0" fontId="54" fillId="28" borderId="0" xfId="0" applyFont="1" applyFill="1" applyBorder="1"/>
    <xf numFmtId="0" fontId="42" fillId="28" borderId="10" xfId="0" applyFont="1" applyFill="1" applyBorder="1"/>
    <xf numFmtId="166" fontId="44" fillId="28" borderId="35" xfId="33" quotePrefix="1" applyNumberFormat="1" applyFont="1" applyFill="1" applyBorder="1" applyAlignment="1">
      <alignment horizontal="center"/>
    </xf>
    <xf numFmtId="166" fontId="44" fillId="28" borderId="36" xfId="33" quotePrefix="1" applyNumberFormat="1" applyFont="1" applyFill="1" applyBorder="1" applyAlignment="1">
      <alignment horizontal="center"/>
    </xf>
    <xf numFmtId="166" fontId="44" fillId="28" borderId="37" xfId="33" applyNumberFormat="1" applyFont="1" applyFill="1" applyBorder="1" applyAlignment="1"/>
    <xf numFmtId="0" fontId="48" fillId="29" borderId="0" xfId="0" applyFont="1" applyFill="1" applyBorder="1" applyAlignment="1" applyProtection="1"/>
    <xf numFmtId="0" fontId="3" fillId="29" borderId="0" xfId="0" applyFont="1" applyFill="1" applyBorder="1" applyProtection="1"/>
    <xf numFmtId="0" fontId="48" fillId="29" borderId="0" xfId="0" applyFont="1" applyFill="1" applyBorder="1" applyAlignment="1" applyProtection="1">
      <alignment horizontal="center" vertical="center" wrapText="1"/>
    </xf>
    <xf numFmtId="0" fontId="3" fillId="29" borderId="0" xfId="0" applyFont="1" applyFill="1" applyBorder="1" applyAlignment="1" applyProtection="1"/>
    <xf numFmtId="41" fontId="3" fillId="29" borderId="0" xfId="0" applyNumberFormat="1" applyFont="1" applyFill="1" applyBorder="1" applyAlignment="1" applyProtection="1">
      <alignment horizontal="right"/>
    </xf>
    <xf numFmtId="0" fontId="48" fillId="29" borderId="0" xfId="0" applyFont="1" applyFill="1" applyBorder="1" applyAlignment="1" applyProtection="1">
      <alignment horizontal="right"/>
    </xf>
    <xf numFmtId="41" fontId="48" fillId="29" borderId="0" xfId="0" applyNumberFormat="1" applyFont="1" applyFill="1" applyBorder="1" applyAlignment="1" applyProtection="1">
      <alignment horizontal="center"/>
    </xf>
    <xf numFmtId="41" fontId="3" fillId="29" borderId="0" xfId="0" applyNumberFormat="1" applyFont="1" applyFill="1" applyBorder="1" applyProtection="1"/>
    <xf numFmtId="41" fontId="3" fillId="29" borderId="0" xfId="0" applyNumberFormat="1" applyFont="1" applyFill="1" applyBorder="1" applyAlignment="1" applyProtection="1">
      <alignment horizontal="center" wrapText="1"/>
    </xf>
    <xf numFmtId="0" fontId="48" fillId="29" borderId="0" xfId="0" applyFont="1" applyFill="1" applyBorder="1" applyAlignment="1" applyProtection="1">
      <alignment horizontal="left" vertical="center"/>
    </xf>
    <xf numFmtId="0" fontId="48" fillId="29" borderId="0" xfId="0" applyFont="1" applyFill="1" applyBorder="1" applyAlignment="1" applyProtection="1">
      <alignment horizontal="center" textRotation="60" wrapText="1"/>
    </xf>
    <xf numFmtId="0" fontId="48" fillId="29" borderId="0" xfId="0" applyFont="1" applyFill="1" applyBorder="1" applyAlignment="1" applyProtection="1">
      <alignment horizontal="left" wrapText="1"/>
    </xf>
    <xf numFmtId="41" fontId="48" fillId="29" borderId="0" xfId="0" applyNumberFormat="1" applyFont="1" applyFill="1" applyBorder="1" applyAlignment="1" applyProtection="1">
      <alignment horizontal="right" wrapText="1"/>
    </xf>
    <xf numFmtId="0" fontId="48" fillId="29" borderId="0" xfId="0" applyFont="1" applyFill="1" applyBorder="1" applyAlignment="1" applyProtection="1">
      <alignment vertical="center"/>
    </xf>
    <xf numFmtId="3" fontId="3" fillId="29" borderId="0" xfId="0" applyNumberFormat="1" applyFont="1" applyFill="1" applyBorder="1" applyAlignment="1" applyProtection="1">
      <alignment wrapText="1"/>
    </xf>
    <xf numFmtId="41" fontId="3" fillId="29" borderId="0" xfId="0" applyNumberFormat="1" applyFont="1" applyFill="1" applyBorder="1" applyAlignment="1" applyProtection="1">
      <alignment horizontal="right" wrapText="1"/>
    </xf>
    <xf numFmtId="41" fontId="3" fillId="29" borderId="0" xfId="0" applyNumberFormat="1" applyFont="1" applyFill="1" applyBorder="1" applyAlignment="1" applyProtection="1">
      <alignment vertical="center" wrapText="1"/>
    </xf>
    <xf numFmtId="3" fontId="3" fillId="29" borderId="0" xfId="0" applyNumberFormat="1" applyFont="1" applyFill="1" applyBorder="1" applyAlignment="1" applyProtection="1"/>
    <xf numFmtId="0" fontId="3" fillId="29" borderId="0" xfId="0" applyFont="1" applyFill="1" applyBorder="1" applyAlignment="1" applyProtection="1">
      <alignment vertical="center"/>
    </xf>
    <xf numFmtId="41" fontId="3" fillId="29" borderId="0" xfId="0" applyNumberFormat="1" applyFont="1" applyFill="1" applyBorder="1" applyAlignment="1" applyProtection="1">
      <alignment horizontal="right" vertical="center" wrapText="1"/>
    </xf>
    <xf numFmtId="0" fontId="3" fillId="29" borderId="0" xfId="0" applyFont="1" applyFill="1" applyBorder="1" applyAlignment="1" applyProtection="1">
      <alignment vertical="center" wrapText="1"/>
    </xf>
    <xf numFmtId="3" fontId="48" fillId="29" borderId="0" xfId="0" applyNumberFormat="1" applyFont="1" applyFill="1" applyBorder="1" applyAlignment="1" applyProtection="1">
      <alignment horizontal="center" wrapText="1"/>
    </xf>
    <xf numFmtId="0" fontId="3" fillId="29" borderId="0" xfId="0" applyFont="1" applyFill="1" applyBorder="1" applyAlignment="1" applyProtection="1">
      <alignment horizontal="left" vertical="center"/>
    </xf>
    <xf numFmtId="41" fontId="3" fillId="29" borderId="0" xfId="0" applyNumberFormat="1" applyFont="1" applyFill="1" applyBorder="1" applyAlignment="1" applyProtection="1">
      <alignment horizontal="right" vertical="center"/>
    </xf>
    <xf numFmtId="41" fontId="5" fillId="29" borderId="0" xfId="0" applyNumberFormat="1" applyFont="1" applyFill="1" applyBorder="1" applyAlignment="1" applyProtection="1">
      <alignment horizontal="right" vertical="center"/>
    </xf>
    <xf numFmtId="0" fontId="15" fillId="29" borderId="0" xfId="0" applyFont="1" applyFill="1" applyBorder="1" applyAlignment="1" applyProtection="1">
      <alignment horizontal="left" vertical="top"/>
    </xf>
    <xf numFmtId="164" fontId="3" fillId="29" borderId="0" xfId="0" applyNumberFormat="1" applyFont="1" applyFill="1" applyBorder="1" applyAlignment="1" applyProtection="1">
      <alignment vertical="center" wrapText="1"/>
    </xf>
    <xf numFmtId="0" fontId="49" fillId="29" borderId="0" xfId="0" applyFont="1" applyFill="1" applyBorder="1" applyAlignment="1" applyProtection="1">
      <alignment vertical="center" wrapText="1"/>
    </xf>
    <xf numFmtId="41" fontId="49" fillId="29" borderId="0" xfId="0" applyNumberFormat="1" applyFont="1" applyFill="1" applyBorder="1" applyAlignment="1" applyProtection="1">
      <alignment horizontal="right" vertical="center" wrapText="1"/>
    </xf>
    <xf numFmtId="41" fontId="3" fillId="29" borderId="0" xfId="0" applyNumberFormat="1" applyFont="1" applyFill="1" applyBorder="1" applyAlignment="1" applyProtection="1">
      <alignment wrapText="1"/>
    </xf>
    <xf numFmtId="41" fontId="3" fillId="29" borderId="0" xfId="0" applyNumberFormat="1" applyFont="1" applyFill="1" applyBorder="1" applyAlignment="1" applyProtection="1"/>
    <xf numFmtId="1" fontId="3" fillId="29" borderId="0" xfId="0" applyNumberFormat="1" applyFont="1" applyFill="1" applyBorder="1" applyAlignment="1" applyProtection="1"/>
    <xf numFmtId="1" fontId="3" fillId="29" borderId="0" xfId="0" applyNumberFormat="1" applyFont="1" applyFill="1" applyBorder="1" applyAlignment="1" applyProtection="1">
      <alignment wrapText="1"/>
    </xf>
    <xf numFmtId="41" fontId="48" fillId="29" borderId="38" xfId="0" applyNumberFormat="1" applyFont="1" applyFill="1" applyBorder="1" applyAlignment="1" applyProtection="1">
      <alignment horizontal="center"/>
    </xf>
    <xf numFmtId="41" fontId="48" fillId="29" borderId="39" xfId="0" applyNumberFormat="1" applyFont="1" applyFill="1" applyBorder="1" applyAlignment="1" applyProtection="1">
      <alignment horizontal="center"/>
    </xf>
    <xf numFmtId="41" fontId="48" fillId="29" borderId="40" xfId="0" applyNumberFormat="1" applyFont="1" applyFill="1" applyBorder="1" applyAlignment="1" applyProtection="1">
      <alignment horizontal="center"/>
    </xf>
    <xf numFmtId="41" fontId="48" fillId="29" borderId="35" xfId="0" applyNumberFormat="1" applyFont="1" applyFill="1" applyBorder="1" applyAlignment="1" applyProtection="1">
      <alignment horizontal="center"/>
    </xf>
    <xf numFmtId="41" fontId="48" fillId="29" borderId="41" xfId="0" applyNumberFormat="1" applyFont="1" applyFill="1" applyBorder="1" applyAlignment="1" applyProtection="1">
      <alignment horizontal="center"/>
    </xf>
    <xf numFmtId="41" fontId="48" fillId="29" borderId="36" xfId="0" applyNumberFormat="1" applyFont="1" applyFill="1" applyBorder="1" applyAlignment="1" applyProtection="1">
      <alignment horizontal="center"/>
    </xf>
    <xf numFmtId="41" fontId="48" fillId="30" borderId="37" xfId="0" applyNumberFormat="1" applyFont="1" applyFill="1" applyBorder="1" applyAlignment="1" applyProtection="1">
      <alignment horizontal="center"/>
      <protection locked="0"/>
    </xf>
    <xf numFmtId="41" fontId="61" fillId="32" borderId="11" xfId="0" applyNumberFormat="1" applyFont="1" applyFill="1" applyBorder="1" applyAlignment="1" applyProtection="1">
      <alignment vertical="center" wrapText="1"/>
    </xf>
    <xf numFmtId="0" fontId="3" fillId="29" borderId="0" xfId="0" applyFont="1" applyFill="1" applyBorder="1" applyAlignment="1" applyProtection="1">
      <alignment horizontal="left" vertical="center" indent="1"/>
    </xf>
    <xf numFmtId="41" fontId="48" fillId="29" borderId="42" xfId="0" applyNumberFormat="1" applyFont="1" applyFill="1" applyBorder="1" applyAlignment="1" applyProtection="1">
      <alignment horizontal="center"/>
    </xf>
    <xf numFmtId="41" fontId="3" fillId="33" borderId="12" xfId="0" applyNumberFormat="1" applyFont="1" applyFill="1" applyBorder="1" applyAlignment="1" applyProtection="1">
      <alignment vertical="center" wrapText="1"/>
    </xf>
    <xf numFmtId="41" fontId="61" fillId="32" borderId="12" xfId="0" applyNumberFormat="1" applyFont="1" applyFill="1" applyBorder="1" applyAlignment="1" applyProtection="1">
      <alignment vertical="center" wrapText="1"/>
    </xf>
    <xf numFmtId="0" fontId="60" fillId="34" borderId="13" xfId="0" applyFont="1" applyFill="1" applyBorder="1" applyAlignment="1" applyProtection="1">
      <alignment horizontal="center"/>
    </xf>
    <xf numFmtId="0" fontId="3" fillId="29" borderId="14" xfId="0" applyFont="1" applyFill="1" applyBorder="1" applyProtection="1"/>
    <xf numFmtId="0" fontId="3" fillId="29" borderId="15" xfId="0" applyFont="1" applyFill="1" applyBorder="1" applyAlignment="1" applyProtection="1">
      <alignment horizontal="left"/>
    </xf>
    <xf numFmtId="0" fontId="3" fillId="29" borderId="14" xfId="0" applyFont="1" applyFill="1" applyBorder="1" applyAlignment="1" applyProtection="1">
      <alignment horizontal="left"/>
    </xf>
    <xf numFmtId="0" fontId="48" fillId="29" borderId="14" xfId="0" applyFont="1" applyFill="1" applyBorder="1" applyAlignment="1" applyProtection="1">
      <alignment horizontal="left" textRotation="60" wrapText="1"/>
    </xf>
    <xf numFmtId="3" fontId="3" fillId="29" borderId="14" xfId="0" applyNumberFormat="1" applyFont="1" applyFill="1" applyBorder="1" applyAlignment="1" applyProtection="1">
      <alignment horizontal="left" wrapText="1"/>
    </xf>
    <xf numFmtId="3" fontId="3" fillId="29" borderId="14" xfId="0" applyNumberFormat="1" applyFont="1" applyFill="1" applyBorder="1" applyAlignment="1" applyProtection="1">
      <alignment horizontal="left" wrapText="1"/>
      <protection locked="0"/>
    </xf>
    <xf numFmtId="3" fontId="49" fillId="29" borderId="14" xfId="0" applyNumberFormat="1" applyFont="1" applyFill="1" applyBorder="1" applyAlignment="1" applyProtection="1">
      <alignment horizontal="left" wrapText="1"/>
      <protection locked="0"/>
    </xf>
    <xf numFmtId="3" fontId="49" fillId="29" borderId="14" xfId="0" applyNumberFormat="1" applyFont="1" applyFill="1" applyBorder="1" applyAlignment="1" applyProtection="1">
      <alignment wrapText="1"/>
    </xf>
    <xf numFmtId="3" fontId="3" fillId="29" borderId="16" xfId="0" applyNumberFormat="1" applyFont="1" applyFill="1" applyBorder="1" applyAlignment="1" applyProtection="1"/>
    <xf numFmtId="0" fontId="62" fillId="35" borderId="0" xfId="0" applyFont="1" applyFill="1" applyBorder="1" applyProtection="1"/>
    <xf numFmtId="0" fontId="62" fillId="35" borderId="14" xfId="0" applyFont="1" applyFill="1" applyBorder="1" applyAlignment="1" applyProtection="1">
      <alignment horizontal="left"/>
    </xf>
    <xf numFmtId="41" fontId="61" fillId="35" borderId="0" xfId="0" applyNumberFormat="1" applyFont="1" applyFill="1" applyBorder="1" applyAlignment="1" applyProtection="1">
      <alignment horizontal="center" wrapText="1"/>
    </xf>
    <xf numFmtId="0" fontId="61" fillId="35" borderId="14" xfId="0" applyFont="1" applyFill="1" applyBorder="1" applyAlignment="1" applyProtection="1">
      <alignment horizontal="left" vertical="center"/>
    </xf>
    <xf numFmtId="41" fontId="3" fillId="35" borderId="0" xfId="0" applyNumberFormat="1" applyFont="1" applyFill="1" applyBorder="1" applyAlignment="1" applyProtection="1">
      <alignment horizontal="right" vertical="top" wrapText="1"/>
    </xf>
    <xf numFmtId="41" fontId="3" fillId="35" borderId="0" xfId="0" applyNumberFormat="1" applyFont="1" applyFill="1" applyBorder="1" applyAlignment="1" applyProtection="1">
      <alignment horizontal="center"/>
    </xf>
    <xf numFmtId="41" fontId="3" fillId="35" borderId="0" xfId="0" applyNumberFormat="1" applyFont="1" applyFill="1" applyBorder="1" applyAlignment="1" applyProtection="1">
      <alignment horizontal="center" wrapText="1"/>
    </xf>
    <xf numFmtId="3" fontId="3" fillId="29" borderId="15" xfId="0" applyNumberFormat="1" applyFont="1" applyFill="1" applyBorder="1" applyAlignment="1" applyProtection="1">
      <alignment horizontal="left" wrapText="1"/>
      <protection locked="0"/>
    </xf>
    <xf numFmtId="3" fontId="3" fillId="29" borderId="15" xfId="0" applyNumberFormat="1" applyFont="1" applyFill="1" applyBorder="1" applyAlignment="1" applyProtection="1">
      <alignment horizontal="left" wrapText="1"/>
    </xf>
    <xf numFmtId="164" fontId="3" fillId="31" borderId="11" xfId="0" applyNumberFormat="1" applyFont="1" applyFill="1" applyBorder="1" applyAlignment="1" applyProtection="1">
      <alignment horizontal="right" vertical="center"/>
      <protection locked="0"/>
    </xf>
    <xf numFmtId="167" fontId="43" fillId="31" borderId="11" xfId="0" applyNumberFormat="1" applyFont="1" applyFill="1" applyBorder="1" applyAlignment="1" applyProtection="1">
      <alignment horizontal="right" vertical="center"/>
      <protection locked="0"/>
    </xf>
    <xf numFmtId="0" fontId="3" fillId="29" borderId="17" xfId="0" applyFont="1" applyFill="1" applyBorder="1" applyAlignment="1" applyProtection="1">
      <alignment horizontal="left"/>
    </xf>
    <xf numFmtId="0" fontId="3" fillId="29" borderId="18" xfId="0" applyFont="1" applyFill="1" applyBorder="1" applyAlignment="1" applyProtection="1">
      <alignment horizontal="left"/>
      <protection locked="0"/>
    </xf>
    <xf numFmtId="3" fontId="48" fillId="29" borderId="19" xfId="0" applyNumberFormat="1" applyFont="1" applyFill="1" applyBorder="1" applyAlignment="1" applyProtection="1"/>
    <xf numFmtId="41" fontId="3" fillId="29" borderId="19" xfId="0" applyNumberFormat="1" applyFont="1" applyFill="1" applyBorder="1" applyAlignment="1" applyProtection="1">
      <alignment horizontal="right" wrapText="1"/>
    </xf>
    <xf numFmtId="41" fontId="3" fillId="29" borderId="19" xfId="0" applyNumberFormat="1" applyFont="1" applyFill="1" applyBorder="1" applyAlignment="1" applyProtection="1">
      <alignment vertical="center" wrapText="1"/>
    </xf>
    <xf numFmtId="41" fontId="61" fillId="32" borderId="20" xfId="0" applyNumberFormat="1" applyFont="1" applyFill="1" applyBorder="1" applyAlignment="1" applyProtection="1">
      <alignment vertical="center" wrapText="1"/>
    </xf>
    <xf numFmtId="41" fontId="3" fillId="29" borderId="21" xfId="0" applyNumberFormat="1" applyFont="1" applyFill="1" applyBorder="1" applyAlignment="1" applyProtection="1">
      <alignment vertical="center" wrapText="1"/>
    </xf>
    <xf numFmtId="0" fontId="3" fillId="29" borderId="0" xfId="0" applyFont="1" applyFill="1" applyBorder="1" applyAlignment="1" applyProtection="1">
      <alignment horizontal="left" vertical="center" indent="2"/>
    </xf>
    <xf numFmtId="3" fontId="3" fillId="29" borderId="0" xfId="0" applyNumberFormat="1" applyFont="1" applyFill="1" applyBorder="1" applyAlignment="1" applyProtection="1">
      <alignment horizontal="left" indent="1"/>
    </xf>
    <xf numFmtId="0" fontId="48" fillId="29" borderId="0" xfId="0" applyFont="1" applyFill="1" applyBorder="1" applyAlignment="1" applyProtection="1">
      <alignment horizontal="left" vertical="center" indent="1"/>
    </xf>
    <xf numFmtId="0" fontId="4" fillId="29" borderId="0" xfId="0" applyFont="1" applyFill="1" applyBorder="1" applyAlignment="1" applyProtection="1">
      <alignment horizontal="left" vertical="top" indent="1"/>
    </xf>
    <xf numFmtId="41" fontId="3" fillId="33" borderId="22" xfId="0" applyNumberFormat="1" applyFont="1" applyFill="1" applyBorder="1" applyAlignment="1" applyProtection="1">
      <alignment vertical="center" wrapText="1"/>
    </xf>
    <xf numFmtId="41" fontId="48" fillId="29" borderId="0" xfId="0" applyNumberFormat="1" applyFont="1" applyFill="1" applyBorder="1" applyAlignment="1" applyProtection="1">
      <alignment vertical="center" wrapText="1"/>
    </xf>
    <xf numFmtId="41" fontId="48" fillId="29" borderId="0" xfId="0" applyNumberFormat="1" applyFont="1" applyFill="1" applyBorder="1" applyAlignment="1" applyProtection="1"/>
    <xf numFmtId="41" fontId="3" fillId="29" borderId="11" xfId="0" applyNumberFormat="1" applyFont="1" applyFill="1" applyBorder="1" applyAlignment="1" applyProtection="1">
      <protection locked="0"/>
    </xf>
    <xf numFmtId="41" fontId="61" fillId="32" borderId="11" xfId="0" applyNumberFormat="1" applyFont="1" applyFill="1" applyBorder="1" applyAlignment="1" applyProtection="1">
      <alignment horizontal="center" vertical="center" wrapText="1"/>
    </xf>
    <xf numFmtId="41" fontId="3" fillId="34" borderId="11" xfId="0" applyNumberFormat="1" applyFont="1" applyFill="1" applyBorder="1" applyAlignment="1" applyProtection="1">
      <protection locked="0"/>
    </xf>
    <xf numFmtId="41" fontId="61" fillId="35" borderId="11" xfId="0" applyNumberFormat="1" applyFont="1" applyFill="1" applyBorder="1" applyAlignment="1" applyProtection="1"/>
    <xf numFmtId="41" fontId="3" fillId="36" borderId="11" xfId="0" applyNumberFormat="1" applyFont="1" applyFill="1" applyBorder="1" applyAlignment="1" applyProtection="1">
      <alignment horizontal="center"/>
    </xf>
    <xf numFmtId="0" fontId="48" fillId="29" borderId="0" xfId="0" applyFont="1" applyFill="1" applyBorder="1" applyAlignment="1" applyProtection="1">
      <alignment horizontal="center" wrapText="1"/>
    </xf>
    <xf numFmtId="0" fontId="48" fillId="29" borderId="0" xfId="0" applyFont="1" applyFill="1" applyBorder="1" applyAlignment="1" applyProtection="1">
      <alignment horizontal="left" vertical="center" indent="3"/>
      <protection locked="0"/>
    </xf>
    <xf numFmtId="0" fontId="3" fillId="29" borderId="0" xfId="0" applyFont="1" applyFill="1" applyBorder="1" applyAlignment="1" applyProtection="1">
      <alignment horizontal="left" vertical="center" indent="3"/>
      <protection locked="0"/>
    </xf>
    <xf numFmtId="0" fontId="3" fillId="29" borderId="0" xfId="0" applyFont="1" applyFill="1" applyBorder="1" applyAlignment="1" applyProtection="1">
      <alignment horizontal="left" vertical="center" indent="3"/>
    </xf>
    <xf numFmtId="3" fontId="3" fillId="29" borderId="0" xfId="0" applyNumberFormat="1" applyFont="1" applyFill="1" applyBorder="1" applyAlignment="1" applyProtection="1">
      <alignment horizontal="left" indent="2"/>
    </xf>
    <xf numFmtId="0" fontId="3" fillId="29" borderId="0" xfId="0" applyFont="1" applyFill="1" applyBorder="1" applyAlignment="1" applyProtection="1">
      <alignment horizontal="left" indent="1"/>
    </xf>
    <xf numFmtId="0" fontId="48" fillId="34" borderId="13" xfId="0" applyFont="1" applyFill="1" applyBorder="1" applyAlignment="1" applyProtection="1">
      <alignment horizontal="center" vertical="center" wrapText="1"/>
    </xf>
    <xf numFmtId="0" fontId="3" fillId="29" borderId="23" xfId="0" applyFont="1" applyFill="1" applyBorder="1" applyAlignment="1" applyProtection="1"/>
    <xf numFmtId="0" fontId="48" fillId="29" borderId="23" xfId="0" applyFont="1" applyFill="1" applyBorder="1" applyAlignment="1" applyProtection="1"/>
    <xf numFmtId="3" fontId="3" fillId="29" borderId="23" xfId="0" applyNumberFormat="1" applyFont="1" applyFill="1" applyBorder="1" applyAlignment="1" applyProtection="1">
      <alignment wrapText="1"/>
    </xf>
    <xf numFmtId="0" fontId="48" fillId="29" borderId="23" xfId="0" applyFont="1" applyFill="1" applyBorder="1" applyAlignment="1" applyProtection="1">
      <alignment vertical="center"/>
    </xf>
    <xf numFmtId="3" fontId="3" fillId="29" borderId="23" xfId="0" applyNumberFormat="1" applyFont="1" applyFill="1" applyBorder="1" applyAlignment="1" applyProtection="1"/>
    <xf numFmtId="0" fontId="48" fillId="29" borderId="23" xfId="0" applyFont="1" applyFill="1" applyBorder="1" applyAlignment="1" applyProtection="1">
      <alignment horizontal="left" vertical="center"/>
    </xf>
    <xf numFmtId="3" fontId="3" fillId="29" borderId="24" xfId="0" applyNumberFormat="1" applyFont="1" applyFill="1" applyBorder="1" applyAlignment="1" applyProtection="1"/>
    <xf numFmtId="3" fontId="3" fillId="29" borderId="25" xfId="0" applyNumberFormat="1" applyFont="1" applyFill="1" applyBorder="1" applyAlignment="1" applyProtection="1"/>
    <xf numFmtId="0" fontId="3" fillId="29" borderId="25" xfId="0" applyFont="1" applyFill="1" applyBorder="1" applyAlignment="1" applyProtection="1"/>
    <xf numFmtId="41" fontId="3" fillId="29" borderId="25" xfId="0" applyNumberFormat="1" applyFont="1" applyFill="1" applyBorder="1" applyAlignment="1" applyProtection="1">
      <alignment horizontal="right"/>
    </xf>
    <xf numFmtId="41" fontId="3" fillId="29" borderId="25" xfId="0" applyNumberFormat="1" applyFont="1" applyFill="1" applyBorder="1" applyAlignment="1" applyProtection="1"/>
    <xf numFmtId="41" fontId="48" fillId="30" borderId="43" xfId="0" applyNumberFormat="1" applyFont="1" applyFill="1" applyBorder="1" applyAlignment="1" applyProtection="1">
      <alignment horizontal="center"/>
      <protection locked="0"/>
    </xf>
    <xf numFmtId="41" fontId="48" fillId="29" borderId="44" xfId="0" applyNumberFormat="1" applyFont="1" applyFill="1" applyBorder="1" applyAlignment="1" applyProtection="1">
      <alignment horizontal="center"/>
    </xf>
    <xf numFmtId="41" fontId="48" fillId="37" borderId="11" xfId="0" applyNumberFormat="1" applyFont="1" applyFill="1" applyBorder="1" applyAlignment="1" applyProtection="1">
      <alignment horizontal="center"/>
    </xf>
    <xf numFmtId="3" fontId="48" fillId="29" borderId="19" xfId="0" applyNumberFormat="1" applyFont="1" applyFill="1" applyBorder="1" applyAlignment="1" applyProtection="1">
      <alignment horizontal="left"/>
    </xf>
    <xf numFmtId="0" fontId="48" fillId="29" borderId="26" xfId="0" applyFont="1" applyFill="1" applyBorder="1" applyAlignment="1" applyProtection="1">
      <alignment horizontal="left" vertical="center"/>
    </xf>
    <xf numFmtId="41" fontId="3" fillId="29" borderId="26" xfId="0" applyNumberFormat="1" applyFont="1" applyFill="1" applyBorder="1" applyAlignment="1" applyProtection="1">
      <alignment horizontal="right" wrapText="1"/>
    </xf>
    <xf numFmtId="41" fontId="3" fillId="29" borderId="26" xfId="0" applyNumberFormat="1" applyFont="1" applyFill="1" applyBorder="1" applyAlignment="1" applyProtection="1">
      <alignment vertical="center" wrapText="1"/>
    </xf>
    <xf numFmtId="41" fontId="61" fillId="32" borderId="27" xfId="0" applyNumberFormat="1" applyFont="1" applyFill="1" applyBorder="1" applyAlignment="1" applyProtection="1">
      <alignment vertical="center" wrapText="1"/>
    </xf>
    <xf numFmtId="41" fontId="61" fillId="32" borderId="28" xfId="0" applyNumberFormat="1" applyFont="1" applyFill="1" applyBorder="1" applyAlignment="1" applyProtection="1">
      <alignment vertical="center" wrapText="1"/>
    </xf>
    <xf numFmtId="41" fontId="48" fillId="36" borderId="11" xfId="0" applyNumberFormat="1" applyFont="1" applyFill="1" applyBorder="1" applyAlignment="1" applyProtection="1">
      <alignment vertical="center" wrapText="1"/>
    </xf>
    <xf numFmtId="41" fontId="48" fillId="36" borderId="12" xfId="0" applyNumberFormat="1" applyFont="1" applyFill="1" applyBorder="1" applyAlignment="1" applyProtection="1">
      <alignment vertical="center" wrapText="1"/>
    </xf>
    <xf numFmtId="0" fontId="48" fillId="29" borderId="19" xfId="0" applyFont="1" applyFill="1" applyBorder="1" applyAlignment="1" applyProtection="1">
      <alignment horizontal="left" vertical="center"/>
    </xf>
    <xf numFmtId="41" fontId="49" fillId="29" borderId="19" xfId="0" applyNumberFormat="1" applyFont="1" applyFill="1" applyBorder="1" applyAlignment="1" applyProtection="1">
      <alignment horizontal="right" vertical="center" wrapText="1"/>
    </xf>
    <xf numFmtId="0" fontId="15" fillId="29" borderId="19" xfId="0" applyFont="1" applyFill="1" applyBorder="1" applyAlignment="1" applyProtection="1">
      <alignment horizontal="left" vertical="top"/>
    </xf>
    <xf numFmtId="41" fontId="3" fillId="29" borderId="19" xfId="0" applyNumberFormat="1" applyFont="1" applyFill="1" applyBorder="1" applyAlignment="1" applyProtection="1">
      <alignment horizontal="right"/>
    </xf>
    <xf numFmtId="41" fontId="3" fillId="29" borderId="19" xfId="0" applyNumberFormat="1" applyFont="1" applyFill="1" applyBorder="1" applyAlignment="1" applyProtection="1">
      <alignment horizontal="right" vertical="center"/>
    </xf>
    <xf numFmtId="0" fontId="55" fillId="28" borderId="0" xfId="0" applyFont="1" applyFill="1" applyBorder="1" applyAlignment="1">
      <alignment horizontal="center" wrapText="1"/>
    </xf>
    <xf numFmtId="49" fontId="65" fillId="38" borderId="32" xfId="72" applyNumberFormat="1" applyFont="1" applyFill="1" applyBorder="1" applyAlignment="1">
      <alignment horizontal="center" vertical="center"/>
    </xf>
    <xf numFmtId="49" fontId="65" fillId="38" borderId="33" xfId="72" applyNumberFormat="1" applyFont="1" applyFill="1" applyBorder="1" applyAlignment="1">
      <alignment horizontal="center" vertical="center"/>
    </xf>
    <xf numFmtId="49" fontId="65" fillId="38" borderId="33" xfId="72" applyNumberFormat="1" applyFont="1" applyFill="1" applyBorder="1" applyAlignment="1">
      <alignment horizontal="center" vertical="center" wrapText="1"/>
    </xf>
    <xf numFmtId="49" fontId="65" fillId="38" borderId="34" xfId="72" applyNumberFormat="1" applyFont="1" applyFill="1" applyBorder="1" applyAlignment="1">
      <alignment horizontal="center" vertical="center"/>
    </xf>
    <xf numFmtId="0" fontId="66" fillId="0" borderId="0" xfId="0" applyFont="1" applyAlignment="1" applyProtection="1">
      <alignment horizontal="center"/>
    </xf>
    <xf numFmtId="49" fontId="65" fillId="38" borderId="29" xfId="72" applyNumberFormat="1" applyFont="1" applyFill="1" applyBorder="1" applyAlignment="1">
      <alignment horizontal="center" vertical="center" wrapText="1"/>
    </xf>
    <xf numFmtId="49" fontId="67" fillId="38" borderId="31" xfId="72" applyNumberFormat="1" applyFont="1" applyFill="1" applyBorder="1" applyAlignment="1">
      <alignment horizontal="center" vertical="center"/>
    </xf>
    <xf numFmtId="49" fontId="67" fillId="38" borderId="34" xfId="72" applyNumberFormat="1" applyFont="1" applyFill="1" applyBorder="1" applyAlignment="1">
      <alignment horizontal="center" vertical="center"/>
    </xf>
    <xf numFmtId="1" fontId="66" fillId="39" borderId="0" xfId="0" applyNumberFormat="1" applyFont="1" applyFill="1" applyBorder="1" applyAlignment="1">
      <alignment horizontal="center"/>
    </xf>
    <xf numFmtId="166" fontId="66" fillId="39" borderId="0" xfId="33" applyNumberFormat="1" applyFont="1" applyFill="1" applyBorder="1" applyAlignment="1">
      <alignment horizontal="center"/>
    </xf>
    <xf numFmtId="0" fontId="66" fillId="0" borderId="0" xfId="0" applyFont="1" applyAlignment="1" applyProtection="1"/>
    <xf numFmtId="0" fontId="66" fillId="40" borderId="11" xfId="0" applyFont="1" applyFill="1" applyBorder="1" applyAlignment="1">
      <alignment horizontal="center" wrapText="1"/>
    </xf>
    <xf numFmtId="0" fontId="66" fillId="40" borderId="11" xfId="0" applyFont="1" applyFill="1" applyBorder="1" applyAlignment="1">
      <alignment wrapText="1"/>
    </xf>
    <xf numFmtId="9" fontId="66" fillId="41" borderId="0" xfId="73" applyNumberFormat="1" applyFont="1" applyFill="1" applyBorder="1" applyAlignment="1">
      <alignment horizontal="center"/>
    </xf>
    <xf numFmtId="9" fontId="66" fillId="40" borderId="11" xfId="74" applyNumberFormat="1" applyFont="1" applyFill="1" applyBorder="1" applyAlignment="1">
      <alignment horizontal="center"/>
    </xf>
    <xf numFmtId="0" fontId="0" fillId="0" borderId="0" xfId="0" applyAlignment="1">
      <alignment wrapText="1"/>
    </xf>
    <xf numFmtId="0" fontId="69" fillId="0" borderId="51" xfId="0" applyFont="1" applyBorder="1" applyAlignment="1">
      <alignment horizontal="center" wrapText="1"/>
    </xf>
    <xf numFmtId="0" fontId="70" fillId="0" borderId="0" xfId="0" applyFont="1" applyAlignment="1">
      <alignment horizontal="left" wrapText="1"/>
    </xf>
    <xf numFmtId="168" fontId="71" fillId="0" borderId="0" xfId="0" applyNumberFormat="1" applyFont="1" applyAlignment="1">
      <alignment wrapText="1"/>
    </xf>
    <xf numFmtId="168" fontId="71" fillId="0" borderId="0" xfId="0" applyNumberFormat="1" applyFont="1" applyAlignment="1">
      <alignment horizontal="right" wrapText="1"/>
    </xf>
    <xf numFmtId="166" fontId="66" fillId="0" borderId="0" xfId="33" applyNumberFormat="1" applyFont="1" applyFill="1" applyBorder="1" applyAlignment="1" applyProtection="1">
      <alignment horizontal="left"/>
    </xf>
    <xf numFmtId="9" fontId="66" fillId="39" borderId="52" xfId="74" applyFont="1" applyFill="1" applyBorder="1" applyAlignment="1">
      <alignment horizontal="center" vertical="center"/>
    </xf>
    <xf numFmtId="166" fontId="66" fillId="0" borderId="52" xfId="75" applyNumberFormat="1" applyFont="1" applyFill="1" applyBorder="1" applyAlignment="1">
      <alignment horizontal="center" vertical="center"/>
    </xf>
    <xf numFmtId="166" fontId="66" fillId="0" borderId="0" xfId="0" applyNumberFormat="1" applyFont="1" applyAlignment="1" applyProtection="1"/>
    <xf numFmtId="9" fontId="66" fillId="41" borderId="52" xfId="74" applyFont="1" applyFill="1" applyBorder="1" applyAlignment="1">
      <alignment horizontal="center" vertical="center"/>
    </xf>
    <xf numFmtId="169" fontId="70" fillId="0" borderId="19" xfId="0" applyNumberFormat="1" applyFont="1" applyBorder="1" applyAlignment="1">
      <alignment horizontal="right" wrapText="1"/>
    </xf>
    <xf numFmtId="9" fontId="66" fillId="42" borderId="52" xfId="74" applyFont="1" applyFill="1" applyBorder="1" applyAlignment="1">
      <alignment horizontal="center" vertical="center"/>
    </xf>
    <xf numFmtId="166" fontId="66" fillId="42" borderId="52" xfId="75" applyNumberFormat="1" applyFont="1" applyFill="1" applyBorder="1" applyAlignment="1">
      <alignment horizontal="center" vertical="center"/>
    </xf>
    <xf numFmtId="9" fontId="66" fillId="40" borderId="52" xfId="74" applyFont="1" applyFill="1" applyBorder="1" applyAlignment="1">
      <alignment horizontal="center" vertical="center"/>
    </xf>
    <xf numFmtId="170" fontId="72" fillId="43" borderId="52" xfId="0" applyNumberFormat="1" applyFont="1" applyFill="1" applyBorder="1" applyAlignment="1">
      <alignment horizontal="left"/>
    </xf>
    <xf numFmtId="166" fontId="73" fillId="43" borderId="52" xfId="75" applyNumberFormat="1" applyFont="1" applyFill="1" applyBorder="1" applyAlignment="1">
      <alignment horizontal="right"/>
    </xf>
    <xf numFmtId="0" fontId="2" fillId="29" borderId="0" xfId="0" applyFont="1" applyFill="1" applyBorder="1" applyAlignment="1" applyProtection="1">
      <alignment horizontal="left" vertical="center" indent="1"/>
    </xf>
    <xf numFmtId="3" fontId="2" fillId="29" borderId="0" xfId="0" applyNumberFormat="1" applyFont="1" applyFill="1" applyBorder="1" applyAlignment="1" applyProtection="1">
      <alignment horizontal="left" indent="1"/>
    </xf>
    <xf numFmtId="168" fontId="71" fillId="0" borderId="0" xfId="0" applyNumberFormat="1" applyFont="1" applyFill="1" applyAlignment="1">
      <alignment horizontal="right" wrapText="1"/>
    </xf>
    <xf numFmtId="0" fontId="71" fillId="0" borderId="0" xfId="0" applyFont="1" applyAlignment="1"/>
    <xf numFmtId="0" fontId="0" fillId="0" borderId="0" xfId="0" applyAlignment="1"/>
    <xf numFmtId="41" fontId="2" fillId="31" borderId="11" xfId="0" applyNumberFormat="1" applyFont="1" applyFill="1" applyBorder="1" applyAlignment="1" applyProtection="1">
      <alignment vertical="center" wrapText="1"/>
      <protection locked="0"/>
    </xf>
    <xf numFmtId="166" fontId="0" fillId="0" borderId="0" xfId="0" applyNumberFormat="1"/>
    <xf numFmtId="166" fontId="2" fillId="0" borderId="0" xfId="0" applyNumberFormat="1" applyFont="1"/>
    <xf numFmtId="0" fontId="74" fillId="0" borderId="0" xfId="0" applyFont="1" applyAlignment="1" applyProtection="1">
      <alignment horizontal="center"/>
    </xf>
    <xf numFmtId="0" fontId="2" fillId="0" borderId="0" xfId="0" applyFont="1"/>
    <xf numFmtId="43" fontId="2" fillId="0" borderId="0" xfId="0" applyNumberFormat="1" applyFont="1"/>
    <xf numFmtId="3" fontId="2" fillId="29" borderId="15" xfId="0" applyNumberFormat="1" applyFont="1" applyFill="1" applyBorder="1" applyAlignment="1" applyProtection="1">
      <alignment horizontal="left" wrapText="1"/>
      <protection locked="0"/>
    </xf>
    <xf numFmtId="0" fontId="42" fillId="28" borderId="38" xfId="0" applyFont="1" applyFill="1" applyBorder="1" applyAlignment="1">
      <alignment horizontal="left" wrapText="1"/>
    </xf>
    <xf numFmtId="0" fontId="42" fillId="28" borderId="45" xfId="0" applyFont="1" applyFill="1" applyBorder="1" applyAlignment="1">
      <alignment horizontal="left" wrapText="1"/>
    </xf>
    <xf numFmtId="0" fontId="1" fillId="28" borderId="39" xfId="0" applyFont="1" applyFill="1" applyBorder="1" applyAlignment="1">
      <alignment horizontal="left" vertical="center" wrapText="1"/>
    </xf>
    <xf numFmtId="0" fontId="42" fillId="28" borderId="46" xfId="0" applyFont="1" applyFill="1" applyBorder="1" applyAlignment="1">
      <alignment horizontal="left" vertical="center" wrapText="1"/>
    </xf>
    <xf numFmtId="0" fontId="42" fillId="28" borderId="47" xfId="0" applyFont="1" applyFill="1" applyBorder="1" applyAlignment="1">
      <alignment horizontal="left" vertical="center" wrapText="1"/>
    </xf>
    <xf numFmtId="0" fontId="1" fillId="28" borderId="49" xfId="0" applyFont="1" applyFill="1" applyBorder="1" applyAlignment="1">
      <alignment horizontal="left" vertical="center" wrapText="1"/>
    </xf>
    <xf numFmtId="0" fontId="42" fillId="28" borderId="49" xfId="0" applyFont="1" applyFill="1" applyBorder="1" applyAlignment="1">
      <alignment horizontal="left" vertical="center" wrapText="1"/>
    </xf>
    <xf numFmtId="0" fontId="42" fillId="28" borderId="50" xfId="0" applyFont="1" applyFill="1" applyBorder="1" applyAlignment="1">
      <alignment horizontal="left" vertical="center" wrapText="1"/>
    </xf>
    <xf numFmtId="0" fontId="53" fillId="0" borderId="0" xfId="0" applyFont="1" applyBorder="1" applyAlignment="1">
      <alignment horizontal="center" wrapText="1"/>
    </xf>
    <xf numFmtId="0" fontId="50" fillId="0" borderId="0" xfId="0" applyFont="1" applyBorder="1" applyAlignment="1">
      <alignment horizontal="center"/>
    </xf>
    <xf numFmtId="0" fontId="42" fillId="28" borderId="41" xfId="0" quotePrefix="1" applyFont="1" applyFill="1" applyBorder="1" applyAlignment="1">
      <alignment horizontal="left"/>
    </xf>
    <xf numFmtId="0" fontId="42" fillId="28" borderId="48" xfId="0" quotePrefix="1" applyFont="1" applyFill="1" applyBorder="1" applyAlignment="1">
      <alignment horizontal="left"/>
    </xf>
    <xf numFmtId="0" fontId="42" fillId="28" borderId="38" xfId="0" quotePrefix="1" applyFont="1" applyFill="1" applyBorder="1" applyAlignment="1">
      <alignment horizontal="left"/>
    </xf>
    <xf numFmtId="0" fontId="42" fillId="28" borderId="45" xfId="0" quotePrefix="1" applyFont="1" applyFill="1" applyBorder="1" applyAlignment="1">
      <alignment horizontal="left"/>
    </xf>
    <xf numFmtId="0" fontId="55" fillId="28" borderId="10" xfId="0" applyFont="1" applyFill="1" applyBorder="1" applyAlignment="1">
      <alignment horizontal="center" wrapText="1"/>
    </xf>
    <xf numFmtId="41" fontId="61" fillId="35" borderId="0" xfId="0" applyNumberFormat="1" applyFont="1" applyFill="1" applyBorder="1" applyAlignment="1" applyProtection="1">
      <alignment horizontal="center"/>
    </xf>
    <xf numFmtId="0" fontId="63" fillId="29" borderId="25" xfId="0" applyFont="1" applyFill="1" applyBorder="1" applyAlignment="1" applyProtection="1">
      <alignment horizontal="center"/>
    </xf>
    <xf numFmtId="0" fontId="47" fillId="34" borderId="29" xfId="0" applyFont="1" applyFill="1" applyBorder="1" applyAlignment="1" applyProtection="1">
      <alignment horizontal="center"/>
    </xf>
    <xf numFmtId="0" fontId="47" fillId="34" borderId="30" xfId="0" applyFont="1" applyFill="1" applyBorder="1" applyAlignment="1" applyProtection="1">
      <alignment horizontal="center"/>
    </xf>
    <xf numFmtId="0" fontId="47" fillId="34" borderId="31" xfId="0" applyFont="1" applyFill="1" applyBorder="1" applyAlignment="1" applyProtection="1">
      <alignment horizontal="center"/>
    </xf>
    <xf numFmtId="0" fontId="47" fillId="34" borderId="32" xfId="0" applyFont="1" applyFill="1" applyBorder="1" applyAlignment="1" applyProtection="1">
      <alignment horizontal="center"/>
    </xf>
    <xf numFmtId="0" fontId="47" fillId="34" borderId="33" xfId="0" applyFont="1" applyFill="1" applyBorder="1" applyAlignment="1" applyProtection="1">
      <alignment horizontal="center"/>
    </xf>
    <xf numFmtId="0" fontId="47" fillId="34" borderId="34" xfId="0" applyFont="1" applyFill="1" applyBorder="1" applyAlignment="1" applyProtection="1">
      <alignment horizontal="center"/>
    </xf>
    <xf numFmtId="0" fontId="48" fillId="35" borderId="23" xfId="0" applyFont="1" applyFill="1" applyBorder="1" applyAlignment="1" applyProtection="1">
      <alignment vertical="top" wrapText="1"/>
    </xf>
    <xf numFmtId="0" fontId="3" fillId="35" borderId="0" xfId="0" applyFont="1" applyFill="1" applyBorder="1" applyAlignment="1" applyProtection="1">
      <alignment vertical="top" wrapText="1"/>
    </xf>
    <xf numFmtId="0" fontId="3" fillId="35" borderId="23" xfId="0" applyFont="1" applyFill="1" applyBorder="1" applyAlignment="1" applyProtection="1">
      <alignment vertical="top" wrapText="1"/>
    </xf>
    <xf numFmtId="0" fontId="48" fillId="29" borderId="0" xfId="0" applyFont="1" applyFill="1" applyBorder="1" applyAlignment="1" applyProtection="1">
      <alignment horizontal="center" wrapText="1"/>
    </xf>
    <xf numFmtId="0" fontId="64" fillId="0" borderId="0" xfId="0" applyFont="1" applyAlignment="1">
      <alignment horizontal="center"/>
    </xf>
    <xf numFmtId="0" fontId="0" fillId="0" borderId="0" xfId="0"/>
    <xf numFmtId="0" fontId="66" fillId="39" borderId="0" xfId="0" applyFont="1" applyFill="1" applyBorder="1" applyAlignment="1">
      <alignment horizontal="center" wrapText="1"/>
    </xf>
    <xf numFmtId="0" fontId="68" fillId="0" borderId="0" xfId="0" applyFont="1" applyAlignment="1">
      <alignment horizontal="center"/>
    </xf>
    <xf numFmtId="0" fontId="66" fillId="41" borderId="0" xfId="0" applyFont="1" applyFill="1" applyBorder="1" applyAlignment="1">
      <alignment horizontal="center"/>
    </xf>
  </cellXfs>
  <cellStyles count="7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lumnAttributeAbovePrompt" xfId="28"/>
    <cellStyle name="ColumnAttributePrompt" xfId="29"/>
    <cellStyle name="ColumnAttributeValue" xfId="30"/>
    <cellStyle name="ColumnHeadingPrompt" xfId="31"/>
    <cellStyle name="ColumnHeadingValue" xfId="32"/>
    <cellStyle name="Comma" xfId="33" builtinId="3"/>
    <cellStyle name="Comma 2" xfId="75"/>
    <cellStyle name="Currency 2" xfId="72"/>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Input" xfId="40" builtinId="20" customBuiltin="1"/>
    <cellStyle name="LineItemPrompt" xfId="41"/>
    <cellStyle name="LineItemValue" xfId="42"/>
    <cellStyle name="Linked Cell" xfId="43" builtinId="24" customBuiltin="1"/>
    <cellStyle name="Neutral" xfId="44" builtinId="28" customBuiltin="1"/>
    <cellStyle name="Normal" xfId="0" builtinId="0"/>
    <cellStyle name="Normal 2" xfId="45"/>
    <cellStyle name="Note" xfId="46" builtinId="10" customBuiltin="1"/>
    <cellStyle name="Output" xfId="47" builtinId="21" customBuiltin="1"/>
    <cellStyle name="OUTPUT AMOUNTS" xfId="48"/>
    <cellStyle name="OUTPUT COLUMN HEADINGS" xfId="49"/>
    <cellStyle name="OUTPUT LINE ITEMS" xfId="50"/>
    <cellStyle name="OUTPUT REPORT HEADING" xfId="51"/>
    <cellStyle name="OUTPUT REPORT TITLE" xfId="52"/>
    <cellStyle name="Percent 2" xfId="73"/>
    <cellStyle name="Percent 2 7 2" xfId="74"/>
    <cellStyle name="ReportTitlePrompt" xfId="53"/>
    <cellStyle name="ReportTitleValue" xfId="54"/>
    <cellStyle name="RowAcctAbovePrompt" xfId="55"/>
    <cellStyle name="RowAcctSOBAbovePrompt" xfId="56"/>
    <cellStyle name="RowAcctSOBValue" xfId="57"/>
    <cellStyle name="RowAcctValue" xfId="58"/>
    <cellStyle name="RowAttrAbovePrompt" xfId="59"/>
    <cellStyle name="RowAttrValue" xfId="60"/>
    <cellStyle name="RowColSetAbovePrompt" xfId="61"/>
    <cellStyle name="RowColSetLeftPrompt" xfId="62"/>
    <cellStyle name="RowColSetValue" xfId="63"/>
    <cellStyle name="RowLeftPrompt" xfId="64"/>
    <cellStyle name="SampleUsingFormatMask" xfId="65"/>
    <cellStyle name="SampleWithNoFormatMask" xfId="66"/>
    <cellStyle name="STYLE1" xfId="67"/>
    <cellStyle name="Title" xfId="68" builtinId="15" customBuiltin="1"/>
    <cellStyle name="Total" xfId="69" builtinId="25" customBuiltin="1"/>
    <cellStyle name="UploadThisRowValue" xfId="70"/>
    <cellStyle name="Warning Text" xfId="71"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B1:K16"/>
  <sheetViews>
    <sheetView workbookViewId="0">
      <selection activeCell="G16" sqref="G16"/>
    </sheetView>
  </sheetViews>
  <sheetFormatPr defaultRowHeight="14.25" x14ac:dyDescent="0.2"/>
  <cols>
    <col min="1" max="1" width="9" style="5"/>
    <col min="2" max="2" width="4" style="5" customWidth="1"/>
    <col min="3" max="3" width="9" style="5"/>
    <col min="4" max="4" width="11.125" style="5" customWidth="1"/>
    <col min="5" max="5" width="9.5" style="5" customWidth="1"/>
    <col min="6" max="6" width="11.125" style="5" customWidth="1"/>
    <col min="7" max="7" width="9.375" style="5" customWidth="1"/>
    <col min="8" max="8" width="11.125" style="5" customWidth="1"/>
    <col min="9" max="9" width="9.5" style="5" customWidth="1"/>
    <col min="10" max="10" width="10.25" style="5" customWidth="1"/>
    <col min="11" max="16384" width="9" style="5"/>
  </cols>
  <sheetData>
    <row r="1" spans="2:11" ht="30" x14ac:dyDescent="0.4">
      <c r="B1" s="185" t="s">
        <v>129</v>
      </c>
      <c r="C1" s="185"/>
      <c r="D1" s="185"/>
      <c r="E1" s="185"/>
      <c r="F1" s="185"/>
      <c r="G1" s="185"/>
      <c r="H1" s="185"/>
      <c r="I1" s="185"/>
      <c r="J1" s="185"/>
    </row>
    <row r="2" spans="2:11" ht="5.0999999999999996" customHeight="1" x14ac:dyDescent="0.4">
      <c r="C2" s="6"/>
      <c r="E2" s="7"/>
      <c r="F2" s="7"/>
      <c r="G2" s="7"/>
      <c r="H2" s="7"/>
      <c r="I2" s="7"/>
      <c r="J2" s="7"/>
    </row>
    <row r="3" spans="2:11" ht="36" customHeight="1" x14ac:dyDescent="0.25">
      <c r="B3" s="184" t="s">
        <v>128</v>
      </c>
      <c r="C3" s="184"/>
      <c r="D3" s="184"/>
      <c r="E3" s="184"/>
      <c r="F3" s="184"/>
      <c r="G3" s="184"/>
      <c r="H3" s="184"/>
      <c r="I3" s="184"/>
      <c r="J3" s="184"/>
      <c r="K3" s="8"/>
    </row>
    <row r="4" spans="2:11" x14ac:dyDescent="0.2">
      <c r="D4" s="7"/>
      <c r="E4" s="7"/>
      <c r="G4" s="7"/>
      <c r="H4" s="7"/>
    </row>
    <row r="5" spans="2:11" ht="20.100000000000001" customHeight="1" x14ac:dyDescent="0.3">
      <c r="B5" s="132"/>
      <c r="C5" s="132"/>
      <c r="D5" s="132"/>
      <c r="E5" s="132"/>
      <c r="F5" s="132"/>
      <c r="G5" s="132"/>
      <c r="H5" s="132"/>
      <c r="I5" s="132"/>
      <c r="J5" s="132"/>
    </row>
    <row r="6" spans="2:11" ht="20.100000000000001" customHeight="1" thickBot="1" x14ac:dyDescent="0.35">
      <c r="B6" s="190" t="s">
        <v>140</v>
      </c>
      <c r="C6" s="190"/>
      <c r="D6" s="190"/>
      <c r="E6" s="190"/>
      <c r="F6" s="190"/>
      <c r="G6" s="190"/>
      <c r="H6" s="190"/>
      <c r="I6" s="190"/>
      <c r="J6" s="190"/>
    </row>
    <row r="7" spans="2:11" ht="15" thickTop="1" x14ac:dyDescent="0.2"/>
    <row r="8" spans="2:11" ht="16.5" thickBot="1" x14ac:dyDescent="0.3">
      <c r="B8" s="2" t="s">
        <v>121</v>
      </c>
      <c r="C8" s="9"/>
      <c r="D8" s="3"/>
      <c r="E8" s="3"/>
      <c r="F8" s="3"/>
      <c r="G8" s="3"/>
      <c r="H8" s="3"/>
      <c r="I8" s="1"/>
      <c r="J8" s="9"/>
    </row>
    <row r="9" spans="2:11" ht="15.75" thickTop="1" thickBot="1" x14ac:dyDescent="0.25"/>
    <row r="10" spans="2:11" ht="15" x14ac:dyDescent="0.25">
      <c r="B10" s="10">
        <v>1</v>
      </c>
      <c r="C10" s="186" t="s">
        <v>135</v>
      </c>
      <c r="D10" s="186"/>
      <c r="E10" s="186"/>
      <c r="F10" s="186"/>
      <c r="G10" s="186"/>
      <c r="H10" s="186"/>
      <c r="I10" s="186"/>
      <c r="J10" s="187"/>
    </row>
    <row r="11" spans="2:11" ht="15" x14ac:dyDescent="0.25">
      <c r="B11" s="11">
        <v>2</v>
      </c>
      <c r="C11" s="188" t="s">
        <v>130</v>
      </c>
      <c r="D11" s="188"/>
      <c r="E11" s="188"/>
      <c r="F11" s="188"/>
      <c r="G11" s="188"/>
      <c r="H11" s="188"/>
      <c r="I11" s="188"/>
      <c r="J11" s="189"/>
    </row>
    <row r="12" spans="2:11" ht="28.5" customHeight="1" x14ac:dyDescent="0.25">
      <c r="B12" s="11">
        <v>3</v>
      </c>
      <c r="C12" s="176" t="s">
        <v>131</v>
      </c>
      <c r="D12" s="176"/>
      <c r="E12" s="176"/>
      <c r="F12" s="176"/>
      <c r="G12" s="176"/>
      <c r="H12" s="176"/>
      <c r="I12" s="176"/>
      <c r="J12" s="177"/>
    </row>
    <row r="13" spans="2:11" ht="57" customHeight="1" x14ac:dyDescent="0.25">
      <c r="B13" s="11">
        <v>4</v>
      </c>
      <c r="C13" s="178" t="s">
        <v>137</v>
      </c>
      <c r="D13" s="179"/>
      <c r="E13" s="179"/>
      <c r="F13" s="179"/>
      <c r="G13" s="179"/>
      <c r="H13" s="179"/>
      <c r="I13" s="179"/>
      <c r="J13" s="180"/>
    </row>
    <row r="14" spans="2:11" ht="69" customHeight="1" thickBot="1" x14ac:dyDescent="0.3">
      <c r="B14" s="12">
        <v>5</v>
      </c>
      <c r="C14" s="181" t="s">
        <v>127</v>
      </c>
      <c r="D14" s="182"/>
      <c r="E14" s="182"/>
      <c r="F14" s="182"/>
      <c r="G14" s="182"/>
      <c r="H14" s="182"/>
      <c r="I14" s="182"/>
      <c r="J14" s="183"/>
    </row>
    <row r="16" spans="2:11" ht="15" x14ac:dyDescent="0.25">
      <c r="B16" s="4"/>
    </row>
  </sheetData>
  <mergeCells count="8">
    <mergeCell ref="C12:J12"/>
    <mergeCell ref="C13:J13"/>
    <mergeCell ref="C14:J14"/>
    <mergeCell ref="B3:J3"/>
    <mergeCell ref="B1:J1"/>
    <mergeCell ref="C10:J10"/>
    <mergeCell ref="C11:J11"/>
    <mergeCell ref="B6:J6"/>
  </mergeCells>
  <phoneticPr fontId="2" type="noConversion"/>
  <pageMargins left="0.75" right="0.75" top="0.54" bottom="1" header="0.5" footer="0.5"/>
  <pageSetup scale="7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8"/>
    <pageSetUpPr fitToPage="1"/>
  </sheetPr>
  <dimension ref="B2:U170"/>
  <sheetViews>
    <sheetView tabSelected="1" zoomScale="115" zoomScaleNormal="115" workbookViewId="0">
      <pane ySplit="14" topLeftCell="A15" activePane="bottomLeft" state="frozen"/>
      <selection pane="bottomLeft" activeCell="N9" sqref="N9"/>
    </sheetView>
  </sheetViews>
  <sheetFormatPr defaultRowHeight="11.25" x14ac:dyDescent="0.2"/>
  <cols>
    <col min="1" max="1" width="0.5" style="30" customWidth="1"/>
    <col min="2" max="4" width="2" style="30" customWidth="1"/>
    <col min="5" max="5" width="38.25" style="16" customWidth="1"/>
    <col min="6" max="6" width="2.375" style="17" customWidth="1"/>
    <col min="7" max="7" width="10.75" style="17" customWidth="1"/>
    <col min="8" max="8" width="2.375" style="43" customWidth="1"/>
    <col min="9" max="13" width="12.625" style="43" customWidth="1"/>
    <col min="14" max="14" width="12.625" style="30" customWidth="1"/>
    <col min="15" max="15" width="50.5" style="30" customWidth="1"/>
    <col min="16" max="16" width="9" style="30"/>
    <col min="17" max="21" width="0" style="30" hidden="1" customWidth="1"/>
    <col min="22" max="16384" width="9" style="30"/>
  </cols>
  <sheetData>
    <row r="2" spans="2:15" s="14" customFormat="1" ht="16.5" thickBot="1" x14ac:dyDescent="0.3">
      <c r="B2" s="192" t="s">
        <v>141</v>
      </c>
      <c r="C2" s="192"/>
      <c r="D2" s="192"/>
      <c r="E2" s="192"/>
      <c r="F2" s="192"/>
      <c r="G2" s="192"/>
      <c r="H2" s="192"/>
      <c r="I2" s="192"/>
      <c r="J2" s="192"/>
      <c r="K2" s="192"/>
      <c r="L2" s="192"/>
      <c r="M2" s="192"/>
      <c r="N2" s="192"/>
      <c r="O2" s="13"/>
    </row>
    <row r="3" spans="2:15" s="14" customFormat="1" ht="16.5" thickBot="1" x14ac:dyDescent="0.3">
      <c r="B3" s="193" t="s">
        <v>138</v>
      </c>
      <c r="C3" s="194"/>
      <c r="D3" s="194"/>
      <c r="E3" s="194"/>
      <c r="F3" s="194"/>
      <c r="G3" s="194"/>
      <c r="H3" s="194"/>
      <c r="I3" s="194"/>
      <c r="J3" s="194"/>
      <c r="K3" s="194"/>
      <c r="L3" s="194"/>
      <c r="M3" s="194"/>
      <c r="N3" s="195"/>
      <c r="O3" s="58" t="s">
        <v>122</v>
      </c>
    </row>
    <row r="4" spans="2:15" s="14" customFormat="1" ht="23.25" thickBot="1" x14ac:dyDescent="0.3">
      <c r="B4" s="196" t="s">
        <v>139</v>
      </c>
      <c r="C4" s="197"/>
      <c r="D4" s="197"/>
      <c r="E4" s="197"/>
      <c r="F4" s="197"/>
      <c r="G4" s="197"/>
      <c r="H4" s="197"/>
      <c r="I4" s="197"/>
      <c r="J4" s="197"/>
      <c r="K4" s="197"/>
      <c r="L4" s="197"/>
      <c r="M4" s="197"/>
      <c r="N4" s="198"/>
      <c r="O4" s="104" t="s">
        <v>123</v>
      </c>
    </row>
    <row r="5" spans="2:15" s="14" customFormat="1" x14ac:dyDescent="0.2">
      <c r="B5" s="105"/>
      <c r="C5" s="16"/>
      <c r="D5" s="16"/>
      <c r="E5" s="202" t="s">
        <v>136</v>
      </c>
      <c r="F5" s="202"/>
      <c r="G5" s="202"/>
      <c r="H5" s="202"/>
      <c r="I5" s="202"/>
      <c r="J5" s="202"/>
      <c r="K5" s="202"/>
      <c r="L5" s="202"/>
      <c r="M5" s="202"/>
      <c r="N5" s="202"/>
      <c r="O5" s="59"/>
    </row>
    <row r="6" spans="2:15" s="14" customFormat="1" ht="23.25" thickBot="1" x14ac:dyDescent="0.25">
      <c r="B6" s="105"/>
      <c r="C6" s="16"/>
      <c r="D6" s="16"/>
      <c r="E6" s="98"/>
      <c r="F6" s="98"/>
      <c r="G6" s="98"/>
      <c r="H6" s="98"/>
      <c r="I6" s="15" t="s">
        <v>113</v>
      </c>
      <c r="J6" s="15" t="s">
        <v>114</v>
      </c>
      <c r="K6" s="15" t="s">
        <v>29</v>
      </c>
      <c r="L6" s="15" t="s">
        <v>115</v>
      </c>
      <c r="M6" s="15" t="s">
        <v>116</v>
      </c>
      <c r="N6" s="15" t="s">
        <v>110</v>
      </c>
      <c r="O6" s="59"/>
    </row>
    <row r="7" spans="2:15" s="14" customFormat="1" x14ac:dyDescent="0.2">
      <c r="B7" s="106"/>
      <c r="C7" s="13"/>
      <c r="D7" s="13"/>
      <c r="F7" s="17"/>
      <c r="G7" s="18" t="s">
        <v>0</v>
      </c>
      <c r="H7" s="19"/>
      <c r="I7" s="49">
        <f t="shared" ref="I7:N7" si="0">I54</f>
        <v>11680717.122152103</v>
      </c>
      <c r="J7" s="50">
        <f t="shared" si="0"/>
        <v>2282416.0277164062</v>
      </c>
      <c r="K7" s="50">
        <f t="shared" si="0"/>
        <v>0</v>
      </c>
      <c r="L7" s="50">
        <f t="shared" si="0"/>
        <v>0</v>
      </c>
      <c r="M7" s="50">
        <f t="shared" si="0"/>
        <v>1894922.8501314891</v>
      </c>
      <c r="N7" s="55">
        <f t="shared" si="0"/>
        <v>15858055.999999998</v>
      </c>
      <c r="O7" s="79"/>
    </row>
    <row r="8" spans="2:15" s="14" customFormat="1" x14ac:dyDescent="0.2">
      <c r="B8" s="106"/>
      <c r="C8" s="13"/>
      <c r="D8" s="13"/>
      <c r="F8" s="17"/>
      <c r="G8" s="18" t="s">
        <v>1</v>
      </c>
      <c r="H8" s="19"/>
      <c r="I8" s="51">
        <f t="shared" ref="I8:N8" si="1">I144</f>
        <v>10648704.916520238</v>
      </c>
      <c r="J8" s="46">
        <f t="shared" si="1"/>
        <v>2601734.1040337314</v>
      </c>
      <c r="K8" s="46">
        <f t="shared" si="1"/>
        <v>0</v>
      </c>
      <c r="L8" s="46">
        <f t="shared" si="1"/>
        <v>0</v>
      </c>
      <c r="M8" s="46">
        <f t="shared" si="1"/>
        <v>2407616.9794460302</v>
      </c>
      <c r="N8" s="47">
        <f t="shared" si="1"/>
        <v>15658056</v>
      </c>
      <c r="O8" s="60"/>
    </row>
    <row r="9" spans="2:15" s="14" customFormat="1" x14ac:dyDescent="0.2">
      <c r="B9" s="106"/>
      <c r="C9" s="13"/>
      <c r="D9" s="13"/>
      <c r="F9" s="17"/>
      <c r="G9" s="18" t="s">
        <v>2</v>
      </c>
      <c r="H9" s="19"/>
      <c r="I9" s="51">
        <f t="shared" ref="I9:N9" si="2">I7-I8</f>
        <v>1032012.2056318652</v>
      </c>
      <c r="J9" s="46">
        <f t="shared" si="2"/>
        <v>-319318.07631732523</v>
      </c>
      <c r="K9" s="46">
        <f t="shared" si="2"/>
        <v>0</v>
      </c>
      <c r="L9" s="46">
        <f t="shared" si="2"/>
        <v>0</v>
      </c>
      <c r="M9" s="46">
        <f t="shared" si="2"/>
        <v>-512694.12931454112</v>
      </c>
      <c r="N9" s="47">
        <f t="shared" si="2"/>
        <v>199999.99999999814</v>
      </c>
      <c r="O9" s="60"/>
    </row>
    <row r="10" spans="2:15" s="14" customFormat="1" x14ac:dyDescent="0.2">
      <c r="B10" s="106"/>
      <c r="C10" s="13"/>
      <c r="D10" s="13"/>
      <c r="F10" s="17"/>
      <c r="G10" s="18" t="s">
        <v>3</v>
      </c>
      <c r="H10" s="19"/>
      <c r="I10" s="51">
        <f>I155</f>
        <v>819</v>
      </c>
      <c r="J10" s="46">
        <f>J155</f>
        <v>164</v>
      </c>
      <c r="K10" s="48"/>
      <c r="L10" s="48"/>
      <c r="M10" s="48"/>
      <c r="N10" s="47">
        <f>N155</f>
        <v>0</v>
      </c>
      <c r="O10" s="60"/>
    </row>
    <row r="11" spans="2:15" s="14" customFormat="1" ht="12" thickBot="1" x14ac:dyDescent="0.25">
      <c r="B11" s="106"/>
      <c r="C11" s="13"/>
      <c r="D11" s="13"/>
      <c r="F11" s="17"/>
      <c r="G11" s="18" t="s">
        <v>4</v>
      </c>
      <c r="H11" s="19"/>
      <c r="I11" s="52">
        <v>0</v>
      </c>
      <c r="J11" s="116">
        <v>0</v>
      </c>
      <c r="K11" s="118"/>
      <c r="L11" s="118"/>
      <c r="M11" s="118"/>
      <c r="N11" s="117">
        <f>I11+J11</f>
        <v>0</v>
      </c>
      <c r="O11" s="80"/>
    </row>
    <row r="12" spans="2:15" s="14" customFormat="1" ht="7.9" customHeight="1" x14ac:dyDescent="0.2">
      <c r="B12" s="105"/>
      <c r="C12" s="16"/>
      <c r="D12" s="16"/>
      <c r="F12" s="17"/>
      <c r="G12" s="17"/>
      <c r="H12" s="20"/>
      <c r="I12" s="20"/>
      <c r="J12" s="20"/>
      <c r="K12" s="20"/>
      <c r="L12" s="20"/>
      <c r="M12" s="20"/>
      <c r="N12" s="20"/>
      <c r="O12" s="61"/>
    </row>
    <row r="13" spans="2:15" s="14" customFormat="1" ht="12.75" customHeight="1" x14ac:dyDescent="0.2">
      <c r="B13" s="199"/>
      <c r="C13" s="200"/>
      <c r="D13" s="200"/>
      <c r="E13" s="200"/>
      <c r="F13" s="72"/>
      <c r="G13" s="72"/>
      <c r="H13" s="73"/>
      <c r="I13" s="191" t="s">
        <v>111</v>
      </c>
      <c r="J13" s="191"/>
      <c r="K13" s="191"/>
      <c r="L13" s="191" t="s">
        <v>112</v>
      </c>
      <c r="M13" s="191"/>
      <c r="N13" s="68"/>
      <c r="O13" s="69"/>
    </row>
    <row r="14" spans="2:15" s="23" customFormat="1" ht="29.25" customHeight="1" x14ac:dyDescent="0.2">
      <c r="B14" s="201"/>
      <c r="C14" s="200"/>
      <c r="D14" s="200"/>
      <c r="E14" s="200"/>
      <c r="F14" s="72"/>
      <c r="G14" s="72"/>
      <c r="H14" s="74"/>
      <c r="I14" s="70" t="s">
        <v>113</v>
      </c>
      <c r="J14" s="70" t="s">
        <v>114</v>
      </c>
      <c r="K14" s="70" t="s">
        <v>29</v>
      </c>
      <c r="L14" s="70" t="s">
        <v>115</v>
      </c>
      <c r="M14" s="70" t="s">
        <v>116</v>
      </c>
      <c r="N14" s="70" t="s">
        <v>110</v>
      </c>
      <c r="O14" s="71"/>
    </row>
    <row r="15" spans="2:15" s="23" customFormat="1" ht="7.5" customHeight="1" x14ac:dyDescent="0.2">
      <c r="B15" s="105"/>
      <c r="C15" s="16"/>
      <c r="D15" s="16"/>
      <c r="E15" s="24"/>
      <c r="F15" s="25"/>
      <c r="G15" s="25"/>
      <c r="H15" s="21"/>
      <c r="I15" s="21"/>
      <c r="J15" s="21"/>
      <c r="K15" s="21"/>
      <c r="L15" s="21"/>
      <c r="M15" s="21"/>
      <c r="N15" s="21"/>
      <c r="O15" s="62"/>
    </row>
    <row r="16" spans="2:15" s="27" customFormat="1" x14ac:dyDescent="0.2">
      <c r="B16" s="107"/>
      <c r="E16" s="26" t="s">
        <v>5</v>
      </c>
      <c r="F16" s="28"/>
      <c r="G16" s="28"/>
      <c r="H16" s="29"/>
      <c r="I16" s="29"/>
      <c r="J16" s="29"/>
      <c r="K16" s="29"/>
      <c r="L16" s="29"/>
      <c r="M16" s="29"/>
      <c r="N16" s="29"/>
      <c r="O16" s="63"/>
    </row>
    <row r="17" spans="2:21" s="27" customFormat="1" ht="12" customHeight="1" x14ac:dyDescent="0.2">
      <c r="B17" s="108"/>
      <c r="E17" s="88" t="s">
        <v>6</v>
      </c>
      <c r="F17" s="28"/>
      <c r="G17" s="28"/>
      <c r="H17" s="29"/>
      <c r="I17" s="29"/>
      <c r="J17" s="29"/>
      <c r="K17" s="29"/>
      <c r="L17" s="29"/>
      <c r="M17" s="29"/>
      <c r="N17" s="29"/>
      <c r="O17" s="64"/>
    </row>
    <row r="18" spans="2:21" s="27" customFormat="1" ht="12" customHeight="1" x14ac:dyDescent="0.2">
      <c r="B18" s="109"/>
      <c r="E18" s="86" t="s">
        <v>7</v>
      </c>
      <c r="F18" s="28"/>
      <c r="G18" s="26" t="s">
        <v>126</v>
      </c>
      <c r="H18" s="29"/>
      <c r="I18" s="29"/>
      <c r="J18" s="29"/>
      <c r="K18" s="29"/>
      <c r="L18" s="29"/>
      <c r="M18" s="29"/>
      <c r="N18" s="29"/>
      <c r="O18" s="63"/>
    </row>
    <row r="19" spans="2:21" s="27" customFormat="1" ht="12" customHeight="1" x14ac:dyDescent="0.2">
      <c r="B19" s="109"/>
      <c r="D19" s="30"/>
      <c r="E19" s="99" t="s">
        <v>117</v>
      </c>
      <c r="F19" s="32"/>
      <c r="G19" s="78">
        <v>15307</v>
      </c>
      <c r="H19" s="29"/>
      <c r="I19" s="169">
        <f>SUMIF(Details!$C:$C,'2018-2019 Budget'!$E19,Details!K:K)</f>
        <v>10655968.049999999</v>
      </c>
      <c r="J19" s="169">
        <f>SUMIF(Details!$C:$C,'2018-2019 Budget'!$E19,Details!L:L)</f>
        <v>0</v>
      </c>
      <c r="K19" s="169">
        <f>SUMIF(Details!$C:$C,'2018-2019 Budget'!$E19,Details!M:M)</f>
        <v>0</v>
      </c>
      <c r="L19" s="169">
        <f>SUMIF(Details!$C:$C,'2018-2019 Budget'!$E19,Details!N:N)</f>
        <v>0</v>
      </c>
      <c r="M19" s="169">
        <f>SUMIF(Details!$C:$C,'2018-2019 Budget'!$E19,Details!O:O)</f>
        <v>1880464.95</v>
      </c>
      <c r="N19" s="56">
        <f>SUM(I19:M19)</f>
        <v>12536432.999999998</v>
      </c>
      <c r="O19" s="75"/>
    </row>
    <row r="20" spans="2:21" s="27" customFormat="1" ht="12" customHeight="1" x14ac:dyDescent="0.2">
      <c r="B20" s="109"/>
      <c r="D20" s="30"/>
      <c r="E20" s="100" t="s">
        <v>8</v>
      </c>
      <c r="F20" s="32"/>
      <c r="G20" s="78"/>
      <c r="H20" s="29"/>
      <c r="I20" s="169">
        <f>SUMIF(Details!$C:$C,'2018-2019 Budget'!$E20,Details!K:K)</f>
        <v>0</v>
      </c>
      <c r="J20" s="169">
        <f>SUMIF(Details!$C:$C,'2018-2019 Budget'!$E20,Details!L:L)</f>
        <v>0</v>
      </c>
      <c r="K20" s="169">
        <f>SUMIF(Details!$C:$C,'2018-2019 Budget'!$E20,Details!M:M)</f>
        <v>0</v>
      </c>
      <c r="L20" s="169">
        <f>SUMIF(Details!$C:$C,'2018-2019 Budget'!$E20,Details!N:N)</f>
        <v>0</v>
      </c>
      <c r="M20" s="169">
        <f>SUMIF(Details!$C:$C,'2018-2019 Budget'!$E20,Details!O:O)</f>
        <v>0</v>
      </c>
      <c r="N20" s="56">
        <f t="shared" ref="N20:N30" si="3">SUM(I20:M20)</f>
        <v>0</v>
      </c>
      <c r="O20" s="75"/>
    </row>
    <row r="21" spans="2:21" s="27" customFormat="1" ht="12" customHeight="1" x14ac:dyDescent="0.2">
      <c r="B21" s="109"/>
      <c r="D21" s="30"/>
      <c r="E21" s="100" t="s">
        <v>9</v>
      </c>
      <c r="F21" s="32"/>
      <c r="G21" s="78"/>
      <c r="H21" s="29"/>
      <c r="I21" s="169">
        <f>SUMIF(Details!$C:$C,'2018-2019 Budget'!$E21,Details!K:K)</f>
        <v>0</v>
      </c>
      <c r="J21" s="169">
        <f>SUMIF(Details!$C:$C,'2018-2019 Budget'!$E21,Details!L:L)</f>
        <v>0</v>
      </c>
      <c r="K21" s="169">
        <f>SUMIF(Details!$C:$C,'2018-2019 Budget'!$E21,Details!M:M)</f>
        <v>0</v>
      </c>
      <c r="L21" s="169">
        <f>SUMIF(Details!$C:$C,'2018-2019 Budget'!$E21,Details!N:N)</f>
        <v>0</v>
      </c>
      <c r="M21" s="169">
        <f>SUMIF(Details!$C:$C,'2018-2019 Budget'!$E21,Details!O:O)</f>
        <v>0</v>
      </c>
      <c r="N21" s="56">
        <f t="shared" si="3"/>
        <v>0</v>
      </c>
      <c r="O21" s="75"/>
    </row>
    <row r="22" spans="2:21" s="27" customFormat="1" ht="12" customHeight="1" x14ac:dyDescent="0.2">
      <c r="B22" s="109"/>
      <c r="D22" s="30"/>
      <c r="E22" s="100" t="s">
        <v>10</v>
      </c>
      <c r="F22" s="32"/>
      <c r="G22" s="78"/>
      <c r="H22" s="29"/>
      <c r="I22" s="169">
        <f>SUMIF(Details!$C:$C,'2018-2019 Budget'!$E22,Details!K:K)</f>
        <v>0</v>
      </c>
      <c r="J22" s="169">
        <f>SUMIF(Details!$C:$C,'2018-2019 Budget'!$E22,Details!L:L)</f>
        <v>0</v>
      </c>
      <c r="K22" s="169">
        <f>SUMIF(Details!$C:$C,'2018-2019 Budget'!$E22,Details!M:M)</f>
        <v>0</v>
      </c>
      <c r="L22" s="169">
        <f>SUMIF(Details!$C:$C,'2018-2019 Budget'!$E22,Details!N:N)</f>
        <v>0</v>
      </c>
      <c r="M22" s="169">
        <f>SUMIF(Details!$C:$C,'2018-2019 Budget'!$E22,Details!O:O)</f>
        <v>0</v>
      </c>
      <c r="N22" s="56">
        <f t="shared" si="3"/>
        <v>0</v>
      </c>
      <c r="O22" s="75"/>
    </row>
    <row r="23" spans="2:21" s="27" customFormat="1" ht="12" customHeight="1" x14ac:dyDescent="0.2">
      <c r="B23" s="109"/>
      <c r="D23" s="30"/>
      <c r="E23" s="100" t="s">
        <v>11</v>
      </c>
      <c r="F23" s="32"/>
      <c r="G23" s="78"/>
      <c r="H23" s="29"/>
      <c r="I23" s="169">
        <f>SUMIF(Details!$C:$C,'2018-2019 Budget'!$E23,Details!K:K)</f>
        <v>0</v>
      </c>
      <c r="J23" s="169">
        <f>SUMIF(Details!$C:$C,'2018-2019 Budget'!$E23,Details!L:L)</f>
        <v>0</v>
      </c>
      <c r="K23" s="169">
        <f>SUMIF(Details!$C:$C,'2018-2019 Budget'!$E23,Details!M:M)</f>
        <v>0</v>
      </c>
      <c r="L23" s="169">
        <f>SUMIF(Details!$C:$C,'2018-2019 Budget'!$E23,Details!N:N)</f>
        <v>0</v>
      </c>
      <c r="M23" s="169">
        <f>SUMIF(Details!$C:$C,'2018-2019 Budget'!$E23,Details!O:O)</f>
        <v>0</v>
      </c>
      <c r="N23" s="56">
        <f t="shared" si="3"/>
        <v>0</v>
      </c>
      <c r="O23" s="75"/>
    </row>
    <row r="24" spans="2:21" s="27" customFormat="1" ht="12" customHeight="1" x14ac:dyDescent="0.2">
      <c r="B24" s="109"/>
      <c r="D24" s="30"/>
      <c r="E24" s="30"/>
      <c r="F24" s="32"/>
      <c r="G24" s="29"/>
      <c r="H24" s="29"/>
      <c r="I24" s="53">
        <f t="shared" ref="I24:N24" si="4">SUM(I19:I23)</f>
        <v>10655968.049999999</v>
      </c>
      <c r="J24" s="53">
        <f t="shared" si="4"/>
        <v>0</v>
      </c>
      <c r="K24" s="53">
        <f t="shared" si="4"/>
        <v>0</v>
      </c>
      <c r="L24" s="53">
        <f t="shared" si="4"/>
        <v>0</v>
      </c>
      <c r="M24" s="53">
        <f t="shared" si="4"/>
        <v>1880464.95</v>
      </c>
      <c r="N24" s="57">
        <f t="shared" si="4"/>
        <v>12536432.999999998</v>
      </c>
      <c r="O24" s="76"/>
      <c r="Q24" s="27">
        <f>IF(G19&gt;0,1,IF(G19=0,0,0))</f>
        <v>1</v>
      </c>
      <c r="R24" s="27">
        <f>IF(G20=0,0,IF(G21=0,1,IF(G22=0,2,IF(G23=0,3,IF(#REF!=0,4,IF(#REF!=0,5,IF(#REF!=0,6,6)))))))</f>
        <v>0</v>
      </c>
      <c r="S24" s="27" t="e">
        <f>IF(#REF!=0,0,IF(#REF!=0,1,IF(#REF!=0,2,IF(#REF!=0,3,IF(#REF!=0,4,IF(#REF!=0,5,IF(#REF!=0,6,6)))))))</f>
        <v>#REF!</v>
      </c>
      <c r="T24" s="27" t="e">
        <f>IF(#REF!=0,0,IF(#REF!=0,1,IF(#REF!=0,2,IF(#REF!&gt;0,3,0))))</f>
        <v>#REF!</v>
      </c>
      <c r="U24" s="34" t="e">
        <f>SUM(Q24:T24)</f>
        <v>#REF!</v>
      </c>
    </row>
    <row r="25" spans="2:21" s="27" customFormat="1" ht="12" customHeight="1" x14ac:dyDescent="0.2">
      <c r="B25" s="109"/>
      <c r="D25" s="30"/>
      <c r="E25" s="30"/>
      <c r="F25" s="32"/>
      <c r="G25" s="29"/>
      <c r="H25" s="29"/>
      <c r="I25" s="29"/>
      <c r="J25" s="29"/>
      <c r="K25" s="29"/>
      <c r="L25" s="29"/>
      <c r="M25" s="29"/>
      <c r="N25" s="29"/>
      <c r="O25" s="63"/>
      <c r="U25" s="34"/>
    </row>
    <row r="26" spans="2:21" s="27" customFormat="1" ht="12" customHeight="1" x14ac:dyDescent="0.2">
      <c r="B26" s="109"/>
      <c r="D26" s="30"/>
      <c r="E26" s="86" t="s">
        <v>12</v>
      </c>
      <c r="F26" s="28"/>
      <c r="G26" s="28"/>
      <c r="H26" s="29"/>
      <c r="I26" s="169">
        <f>SUMIF(Details!C:C,'2018-2019 Budget'!E26,Details!K:K)</f>
        <v>0</v>
      </c>
      <c r="J26" s="169">
        <f>SUMIF(Details!$C:$C,'2018-2019 Budget'!$E26,Details!L:L)</f>
        <v>1896225</v>
      </c>
      <c r="K26" s="169">
        <f>SUMIF(Details!$C:$C,'2018-2019 Budget'!$E26,Details!M:M)</f>
        <v>0</v>
      </c>
      <c r="L26" s="169">
        <f>SUMIF(Details!$C:$C,'2018-2019 Budget'!$E26,Details!N:N)</f>
        <v>0</v>
      </c>
      <c r="M26" s="169">
        <f>SUMIF(Details!$C:$C,'2018-2019 Budget'!$E26,Details!O:O)</f>
        <v>0</v>
      </c>
      <c r="N26" s="56">
        <f t="shared" si="3"/>
        <v>1896225</v>
      </c>
      <c r="O26" s="75"/>
    </row>
    <row r="27" spans="2:21" s="27" customFormat="1" ht="12" customHeight="1" x14ac:dyDescent="0.2">
      <c r="B27" s="109"/>
      <c r="D27" s="30"/>
      <c r="E27" s="86" t="s">
        <v>13</v>
      </c>
      <c r="F27" s="28"/>
      <c r="G27" s="28"/>
      <c r="H27" s="29"/>
      <c r="I27" s="29"/>
      <c r="J27" s="29"/>
      <c r="K27" s="29"/>
      <c r="L27" s="29"/>
      <c r="M27" s="29"/>
      <c r="N27" s="29"/>
      <c r="O27" s="63"/>
    </row>
    <row r="28" spans="2:21" s="27" customFormat="1" ht="12" customHeight="1" x14ac:dyDescent="0.2">
      <c r="B28" s="109"/>
      <c r="D28" s="30"/>
      <c r="E28" s="101" t="s">
        <v>14</v>
      </c>
      <c r="F28" s="36"/>
      <c r="G28" s="36"/>
      <c r="H28" s="29"/>
      <c r="I28" s="169">
        <f>SUMIF(Details!C:C,'2018-2019 Budget'!E28,Details!K:K)</f>
        <v>0</v>
      </c>
      <c r="J28" s="169">
        <f>SUMIF(Details!$C:$C,'2018-2019 Budget'!$E28,Details!L:L)</f>
        <v>0</v>
      </c>
      <c r="K28" s="169">
        <f>SUMIF(Details!$C:$C,'2018-2019 Budget'!$E28,Details!M:M)</f>
        <v>0</v>
      </c>
      <c r="L28" s="169">
        <f>SUMIF(Details!$C:$C,'2018-2019 Budget'!$E28,Details!N:N)</f>
        <v>0</v>
      </c>
      <c r="M28" s="169">
        <f>SUMIF(Details!$C:$C,'2018-2019 Budget'!$E28,Details!O:O)</f>
        <v>0</v>
      </c>
      <c r="N28" s="56">
        <f t="shared" si="3"/>
        <v>0</v>
      </c>
      <c r="O28" s="75"/>
    </row>
    <row r="29" spans="2:21" s="27" customFormat="1" ht="12" customHeight="1" x14ac:dyDescent="0.2">
      <c r="B29" s="109"/>
      <c r="D29" s="30"/>
      <c r="E29" s="101" t="s">
        <v>15</v>
      </c>
      <c r="F29" s="36"/>
      <c r="G29" s="36"/>
      <c r="H29" s="29"/>
      <c r="I29" s="169">
        <f>SUMIF(Details!C:C,'2018-2019 Budget'!E29,Details!K:K)</f>
        <v>0</v>
      </c>
      <c r="J29" s="169">
        <f>SUMIF(Details!$C:$C,'2018-2019 Budget'!$E29,Details!L:L)</f>
        <v>0</v>
      </c>
      <c r="K29" s="169">
        <f>SUMIF(Details!$C:$C,'2018-2019 Budget'!$E29,Details!M:M)</f>
        <v>0</v>
      </c>
      <c r="L29" s="169">
        <f>SUMIF(Details!$C:$C,'2018-2019 Budget'!$E29,Details!N:N)</f>
        <v>0</v>
      </c>
      <c r="M29" s="169">
        <f>SUMIF(Details!$C:$C,'2018-2019 Budget'!$E29,Details!O:O)</f>
        <v>0</v>
      </c>
      <c r="N29" s="56">
        <f t="shared" si="3"/>
        <v>0</v>
      </c>
      <c r="O29" s="75"/>
    </row>
    <row r="30" spans="2:21" s="27" customFormat="1" ht="12" customHeight="1" x14ac:dyDescent="0.2">
      <c r="B30" s="109"/>
      <c r="D30" s="30"/>
      <c r="E30" s="102" t="s">
        <v>132</v>
      </c>
      <c r="F30" s="28"/>
      <c r="G30" s="28"/>
      <c r="H30" s="29"/>
      <c r="I30" s="169">
        <f>SUMIF(Details!C:C,'2018-2019 Budget'!E30,Details!K:K)</f>
        <v>636607.21611721616</v>
      </c>
      <c r="J30" s="169">
        <f>SUMIF(Details!$C:$C,'2018-2019 Budget'!$E30,Details!L:L)</f>
        <v>159394.7838827839</v>
      </c>
      <c r="K30" s="169">
        <f>SUMIF(Details!$C:$C,'2018-2019 Budget'!$E30,Details!M:M)</f>
        <v>0</v>
      </c>
      <c r="L30" s="169">
        <f>SUMIF(Details!$C:$C,'2018-2019 Budget'!$E30,Details!N:N)</f>
        <v>0</v>
      </c>
      <c r="M30" s="169">
        <f>SUMIF(Details!$C:$C,'2018-2019 Budget'!$E30,Details!O:O)</f>
        <v>0</v>
      </c>
      <c r="N30" s="90">
        <f t="shared" si="3"/>
        <v>796002</v>
      </c>
      <c r="O30" s="75"/>
    </row>
    <row r="31" spans="2:21" s="27" customFormat="1" ht="12" customHeight="1" x14ac:dyDescent="0.2">
      <c r="B31" s="109"/>
      <c r="E31" s="81" t="s">
        <v>16</v>
      </c>
      <c r="F31" s="82"/>
      <c r="G31" s="82"/>
      <c r="H31" s="83"/>
      <c r="I31" s="53">
        <f t="shared" ref="I31:N31" si="5">SUM(I24:I30)</f>
        <v>11292575.266117215</v>
      </c>
      <c r="J31" s="53">
        <f t="shared" si="5"/>
        <v>2055619.783882784</v>
      </c>
      <c r="K31" s="53">
        <f t="shared" si="5"/>
        <v>0</v>
      </c>
      <c r="L31" s="53">
        <f t="shared" si="5"/>
        <v>0</v>
      </c>
      <c r="M31" s="53">
        <f t="shared" si="5"/>
        <v>1880464.95</v>
      </c>
      <c r="N31" s="84">
        <f t="shared" si="5"/>
        <v>15228659.999999998</v>
      </c>
      <c r="O31" s="75"/>
    </row>
    <row r="32" spans="2:21" s="27" customFormat="1" ht="7.5" customHeight="1" x14ac:dyDescent="0.2">
      <c r="B32" s="109"/>
      <c r="C32" s="30"/>
      <c r="D32" s="30"/>
      <c r="E32" s="33"/>
      <c r="F32" s="32"/>
      <c r="G32" s="32"/>
      <c r="H32" s="29"/>
      <c r="I32" s="29"/>
      <c r="J32" s="29"/>
      <c r="K32" s="29"/>
      <c r="L32" s="29"/>
      <c r="M32" s="29"/>
      <c r="N32" s="29"/>
      <c r="O32" s="63"/>
    </row>
    <row r="33" spans="2:15" s="27" customFormat="1" ht="12" customHeight="1" x14ac:dyDescent="0.2">
      <c r="B33" s="108"/>
      <c r="E33" s="26" t="s">
        <v>17</v>
      </c>
      <c r="F33" s="32"/>
      <c r="G33" s="32"/>
      <c r="H33" s="29"/>
      <c r="I33" s="29"/>
      <c r="J33" s="29"/>
      <c r="K33" s="29"/>
      <c r="L33" s="29"/>
      <c r="M33" s="29"/>
      <c r="N33" s="29"/>
      <c r="O33" s="63"/>
    </row>
    <row r="34" spans="2:15" s="27" customFormat="1" ht="12" customHeight="1" x14ac:dyDescent="0.2">
      <c r="B34" s="109"/>
      <c r="C34" s="30"/>
      <c r="E34" s="54" t="s">
        <v>18</v>
      </c>
      <c r="F34" s="28"/>
      <c r="G34" s="28"/>
      <c r="H34" s="29"/>
      <c r="I34" s="169">
        <f>SUMIF(Details!C:C,'2018-2019 Budget'!E34,Details!K:K)</f>
        <v>0</v>
      </c>
      <c r="J34" s="169">
        <f>SUMIF(Details!$C:$C,'2018-2019 Budget'!$E34,Details!L:L)</f>
        <v>130000</v>
      </c>
      <c r="K34" s="169">
        <f>SUMIF(Details!$C:$C,'2018-2019 Budget'!$E34,Details!M:M)</f>
        <v>0</v>
      </c>
      <c r="L34" s="169">
        <f>SUMIF(Details!$C:$C,'2018-2019 Budget'!$E34,Details!N:N)</f>
        <v>0</v>
      </c>
      <c r="M34" s="169">
        <f>SUMIF(Details!$C:$C,'2018-2019 Budget'!$E34,Details!O:O)</f>
        <v>0</v>
      </c>
      <c r="N34" s="56">
        <f>SUM(I34:M34)</f>
        <v>130000</v>
      </c>
      <c r="O34" s="75"/>
    </row>
    <row r="35" spans="2:15" s="27" customFormat="1" ht="12" customHeight="1" x14ac:dyDescent="0.2">
      <c r="B35" s="109"/>
      <c r="C35" s="30"/>
      <c r="E35" s="54" t="s">
        <v>19</v>
      </c>
      <c r="F35" s="28"/>
      <c r="G35" s="28"/>
      <c r="H35" s="29"/>
      <c r="I35" s="169">
        <f>SUMIF(Details!C:C,'2018-2019 Budget'!E35,Details!K:K)</f>
        <v>119963.36996336997</v>
      </c>
      <c r="J35" s="169">
        <f>SUMIF(Details!$C:$C,'2018-2019 Budget'!$E35,Details!L:L)</f>
        <v>30036.630036630038</v>
      </c>
      <c r="K35" s="169">
        <f>SUMIF(Details!$C:$C,'2018-2019 Budget'!$E35,Details!M:M)</f>
        <v>0</v>
      </c>
      <c r="L35" s="169">
        <f>SUMIF(Details!$C:$C,'2018-2019 Budget'!$E35,Details!N:N)</f>
        <v>0</v>
      </c>
      <c r="M35" s="169">
        <f>SUMIF(Details!$C:$C,'2018-2019 Budget'!$E35,Details!O:O)</f>
        <v>0</v>
      </c>
      <c r="N35" s="56">
        <f>SUM(I35:M35)</f>
        <v>150000</v>
      </c>
      <c r="O35" s="75"/>
    </row>
    <row r="36" spans="2:15" s="27" customFormat="1" ht="12" customHeight="1" x14ac:dyDescent="0.2">
      <c r="B36" s="109"/>
      <c r="C36" s="30"/>
      <c r="E36" s="54" t="s">
        <v>20</v>
      </c>
      <c r="F36" s="28"/>
      <c r="G36" s="28"/>
      <c r="H36" s="29"/>
      <c r="I36" s="169">
        <f>SUMIF(Details!C:C,'2018-2019 Budget'!E36,Details!K:K)</f>
        <v>79975.579975579982</v>
      </c>
      <c r="J36" s="169">
        <f>SUMIF(Details!$C:$C,'2018-2019 Budget'!$E36,Details!L:L)</f>
        <v>20024.420024420026</v>
      </c>
      <c r="K36" s="169">
        <f>SUMIF(Details!$C:$C,'2018-2019 Budget'!$E36,Details!M:M)</f>
        <v>0</v>
      </c>
      <c r="L36" s="169">
        <f>SUMIF(Details!$C:$C,'2018-2019 Budget'!$E36,Details!N:N)</f>
        <v>0</v>
      </c>
      <c r="M36" s="169">
        <f>SUMIF(Details!$C:$C,'2018-2019 Budget'!$E36,Details!O:O)</f>
        <v>0</v>
      </c>
      <c r="N36" s="56">
        <f>SUM(I36:M36)</f>
        <v>100000</v>
      </c>
      <c r="O36" s="75"/>
    </row>
    <row r="37" spans="2:15" s="27" customFormat="1" ht="12" customHeight="1" x14ac:dyDescent="0.2">
      <c r="B37" s="109"/>
      <c r="C37" s="30"/>
      <c r="E37" s="54" t="s">
        <v>21</v>
      </c>
      <c r="F37" s="28"/>
      <c r="G37" s="28"/>
      <c r="H37" s="29"/>
      <c r="I37" s="169">
        <f>SUMIF(Details!C:C,'2018-2019 Budget'!E37,Details!K:K)</f>
        <v>0</v>
      </c>
      <c r="J37" s="169">
        <f>SUMIF(Details!$C:$C,'2018-2019 Budget'!$E37,Details!L:L)</f>
        <v>0</v>
      </c>
      <c r="K37" s="169">
        <f>SUMIF(Details!$C:$C,'2018-2019 Budget'!$E37,Details!M:M)</f>
        <v>0</v>
      </c>
      <c r="L37" s="169">
        <f>SUMIF(Details!$C:$C,'2018-2019 Budget'!$E37,Details!N:N)</f>
        <v>0</v>
      </c>
      <c r="M37" s="169">
        <f>SUMIF(Details!$C:$C,'2018-2019 Budget'!$E37,Details!O:O)</f>
        <v>0</v>
      </c>
      <c r="N37" s="56">
        <f>SUM(I37:M37)</f>
        <v>0</v>
      </c>
      <c r="O37" s="75"/>
    </row>
    <row r="38" spans="2:15" s="27" customFormat="1" ht="12" customHeight="1" x14ac:dyDescent="0.2">
      <c r="B38" s="109"/>
      <c r="C38" s="30"/>
      <c r="E38" s="54" t="s">
        <v>13</v>
      </c>
      <c r="F38" s="28"/>
      <c r="G38" s="28"/>
      <c r="H38" s="29"/>
      <c r="I38" s="29"/>
      <c r="J38" s="29"/>
      <c r="K38" s="29"/>
      <c r="L38" s="29"/>
      <c r="M38" s="29"/>
      <c r="N38" s="29"/>
      <c r="O38" s="75"/>
    </row>
    <row r="39" spans="2:15" s="27" customFormat="1" ht="12" customHeight="1" x14ac:dyDescent="0.2">
      <c r="B39" s="109"/>
      <c r="C39" s="30"/>
      <c r="E39" s="86" t="s">
        <v>22</v>
      </c>
      <c r="F39" s="36"/>
      <c r="G39" s="36"/>
      <c r="H39" s="29"/>
      <c r="I39" s="169">
        <f>SUMIF(Details!C:C,'2018-2019 Budget'!E39,Details!K:K)</f>
        <v>0</v>
      </c>
      <c r="J39" s="169">
        <f>SUMIF(Details!$C:$C,'2018-2019 Budget'!$E39,Details!L:L)</f>
        <v>0</v>
      </c>
      <c r="K39" s="169">
        <f>SUMIF(Details!$C:$C,'2018-2019 Budget'!$E39,Details!M:M)</f>
        <v>0</v>
      </c>
      <c r="L39" s="169">
        <f>SUMIF(Details!$C:$C,'2018-2019 Budget'!$E39,Details!N:N)</f>
        <v>0</v>
      </c>
      <c r="M39" s="169">
        <f>SUMIF(Details!$C:$C,'2018-2019 Budget'!$E39,Details!O:O)</f>
        <v>0</v>
      </c>
      <c r="N39" s="56">
        <f>SUM(I39:M39)</f>
        <v>0</v>
      </c>
      <c r="O39" s="75"/>
    </row>
    <row r="40" spans="2:15" s="27" customFormat="1" ht="12" customHeight="1" x14ac:dyDescent="0.2">
      <c r="B40" s="109"/>
      <c r="C40" s="30"/>
      <c r="E40" s="86" t="s">
        <v>15</v>
      </c>
      <c r="F40" s="36"/>
      <c r="G40" s="36"/>
      <c r="H40" s="29"/>
      <c r="I40" s="169">
        <f>SUMIF(Details!C:C,'2018-2019 Budget'!E40,Details!K:K)</f>
        <v>0</v>
      </c>
      <c r="J40" s="169">
        <f>SUMIF(Details!$C:$C,'2018-2019 Budget'!$E40,Details!L:L)</f>
        <v>0</v>
      </c>
      <c r="K40" s="169">
        <f>SUMIF(Details!$C:$C,'2018-2019 Budget'!$E40,Details!M:M)</f>
        <v>0</v>
      </c>
      <c r="L40" s="169">
        <f>SUMIF(Details!$C:$C,'2018-2019 Budget'!$E40,Details!N:N)</f>
        <v>0</v>
      </c>
      <c r="M40" s="169">
        <f>SUMIF(Details!$C:$C,'2018-2019 Budget'!$E40,Details!O:O)</f>
        <v>0</v>
      </c>
      <c r="N40" s="56">
        <f>SUM(I40:M40)</f>
        <v>0</v>
      </c>
      <c r="O40" s="75"/>
    </row>
    <row r="41" spans="2:15" s="27" customFormat="1" ht="12" customHeight="1" x14ac:dyDescent="0.2">
      <c r="B41" s="109"/>
      <c r="C41" s="30"/>
      <c r="E41" s="54" t="s">
        <v>133</v>
      </c>
      <c r="F41" s="28"/>
      <c r="G41" s="28"/>
      <c r="H41" s="29"/>
      <c r="I41" s="169">
        <f>SUMIF(Details!C:C,'2018-2019 Budget'!E41,Details!K:K)</f>
        <v>0</v>
      </c>
      <c r="J41" s="169">
        <f>SUMIF(Details!$C:$C,'2018-2019 Budget'!$E41,Details!L:L)</f>
        <v>0</v>
      </c>
      <c r="K41" s="169">
        <f>SUMIF(Details!$C:$C,'2018-2019 Budget'!$E41,Details!M:M)</f>
        <v>0</v>
      </c>
      <c r="L41" s="169">
        <f>SUMIF(Details!$C:$C,'2018-2019 Budget'!$E41,Details!N:N)</f>
        <v>0</v>
      </c>
      <c r="M41" s="169">
        <f>SUMIF(Details!$C:$C,'2018-2019 Budget'!$E41,Details!O:O)</f>
        <v>0</v>
      </c>
      <c r="N41" s="56">
        <f>SUM(I41:M41)</f>
        <v>0</v>
      </c>
      <c r="O41" s="75"/>
    </row>
    <row r="42" spans="2:15" s="27" customFormat="1" ht="12" customHeight="1" x14ac:dyDescent="0.2">
      <c r="B42" s="109"/>
      <c r="E42" s="81" t="s">
        <v>23</v>
      </c>
      <c r="F42" s="82"/>
      <c r="G42" s="82"/>
      <c r="H42" s="85"/>
      <c r="I42" s="53">
        <f t="shared" ref="I42:N42" si="6">SUM(I34:I41)</f>
        <v>199938.94993894995</v>
      </c>
      <c r="J42" s="53">
        <f t="shared" si="6"/>
        <v>180061.05006105005</v>
      </c>
      <c r="K42" s="53">
        <f t="shared" si="6"/>
        <v>0</v>
      </c>
      <c r="L42" s="53">
        <f t="shared" si="6"/>
        <v>0</v>
      </c>
      <c r="M42" s="53">
        <f t="shared" si="6"/>
        <v>0</v>
      </c>
      <c r="N42" s="57">
        <f t="shared" si="6"/>
        <v>380000</v>
      </c>
      <c r="O42" s="75"/>
    </row>
    <row r="43" spans="2:15" s="27" customFormat="1" ht="7.5" customHeight="1" x14ac:dyDescent="0.2">
      <c r="B43" s="109"/>
      <c r="C43" s="30"/>
      <c r="D43" s="30"/>
      <c r="E43" s="33"/>
      <c r="F43" s="32"/>
      <c r="G43" s="32"/>
      <c r="H43" s="29"/>
      <c r="I43" s="29"/>
      <c r="J43" s="29"/>
      <c r="K43" s="29"/>
      <c r="L43" s="29"/>
      <c r="M43" s="29"/>
      <c r="N43" s="29"/>
      <c r="O43" s="63"/>
    </row>
    <row r="44" spans="2:15" s="27" customFormat="1" ht="12" customHeight="1" x14ac:dyDescent="0.2">
      <c r="B44" s="108"/>
      <c r="D44" s="26"/>
      <c r="E44" s="22" t="s">
        <v>24</v>
      </c>
      <c r="F44" s="32"/>
      <c r="G44" s="32"/>
      <c r="H44" s="29"/>
      <c r="I44" s="29"/>
      <c r="J44" s="29"/>
      <c r="K44" s="29"/>
      <c r="L44" s="29"/>
      <c r="M44" s="29"/>
      <c r="N44" s="29"/>
      <c r="O44" s="63"/>
    </row>
    <row r="45" spans="2:15" s="27" customFormat="1" ht="12" customHeight="1" x14ac:dyDescent="0.2">
      <c r="B45" s="109"/>
      <c r="E45" s="54" t="s">
        <v>119</v>
      </c>
      <c r="F45" s="28"/>
      <c r="G45" s="28"/>
      <c r="H45" s="29"/>
      <c r="I45" s="169">
        <f>SUMIF(Details!C:C,'2018-2019 Budget'!E45,Details!K:K)</f>
        <v>99000.045871141949</v>
      </c>
      <c r="J45" s="169">
        <f>SUMIF(Details!$C:$C,'2018-2019 Budget'!$E45,Details!L:L)</f>
        <v>24616.775262858457</v>
      </c>
      <c r="K45" s="169">
        <f>SUMIF(Details!$C:$C,'2018-2019 Budget'!$E45,Details!M:M)</f>
        <v>0</v>
      </c>
      <c r="L45" s="169">
        <f>SUMIF(Details!$C:$C,'2018-2019 Budget'!$E45,Details!N:N)</f>
        <v>0</v>
      </c>
      <c r="M45" s="169">
        <f>SUMIF(Details!$C:$C,'2018-2019 Budget'!$E45,Details!O:O)</f>
        <v>6383.1788659996055</v>
      </c>
      <c r="N45" s="56">
        <f t="shared" ref="N45:N51" si="7">SUM(I45:M45)</f>
        <v>130000.00000000001</v>
      </c>
      <c r="O45" s="75"/>
    </row>
    <row r="46" spans="2:15" s="27" customFormat="1" ht="12" customHeight="1" x14ac:dyDescent="0.2">
      <c r="B46" s="109"/>
      <c r="E46" s="54" t="s">
        <v>26</v>
      </c>
      <c r="F46" s="28"/>
      <c r="G46" s="28"/>
      <c r="H46" s="29"/>
      <c r="I46" s="169">
        <f>SUMIF(Details!C:C,'2018-2019 Budget'!E46,Details!K:K)</f>
        <v>33777.529866399964</v>
      </c>
      <c r="J46" s="169">
        <f>SUMIF(Details!$C:$C,'2018-2019 Budget'!$E46,Details!L:L)</f>
        <v>8243.496551100543</v>
      </c>
      <c r="K46" s="169">
        <f>SUMIF(Details!$C:$C,'2018-2019 Budget'!$E46,Details!M:M)</f>
        <v>0</v>
      </c>
      <c r="L46" s="169">
        <f>SUMIF(Details!$C:$C,'2018-2019 Budget'!$E46,Details!N:N)</f>
        <v>0</v>
      </c>
      <c r="M46" s="169">
        <f>SUMIF(Details!$C:$C,'2018-2019 Budget'!$E46,Details!O:O)</f>
        <v>7978.9735824995068</v>
      </c>
      <c r="N46" s="56">
        <f t="shared" si="7"/>
        <v>50000.000000000015</v>
      </c>
      <c r="O46" s="75"/>
    </row>
    <row r="47" spans="2:15" s="27" customFormat="1" ht="12" customHeight="1" x14ac:dyDescent="0.2">
      <c r="B47" s="109"/>
      <c r="E47" s="54" t="s">
        <v>120</v>
      </c>
      <c r="F47" s="28"/>
      <c r="G47" s="28"/>
      <c r="H47" s="29"/>
      <c r="I47" s="169">
        <f>SUMIF(Details!C:C,'2018-2019 Budget'!E47,Details!K:K)</f>
        <v>405.33035839679957</v>
      </c>
      <c r="J47" s="169">
        <f>SUMIF(Details!$C:$C,'2018-2019 Budget'!$E47,Details!L:L)</f>
        <v>98.921958613206513</v>
      </c>
      <c r="K47" s="169">
        <f>SUMIF(Details!$C:$C,'2018-2019 Budget'!$E47,Details!M:M)</f>
        <v>0</v>
      </c>
      <c r="L47" s="169">
        <f>SUMIF(Details!$C:$C,'2018-2019 Budget'!$E47,Details!N:N)</f>
        <v>0</v>
      </c>
      <c r="M47" s="169">
        <f>SUMIF(Details!$C:$C,'2018-2019 Budget'!$E47,Details!O:O)</f>
        <v>95.74768298999409</v>
      </c>
      <c r="N47" s="56">
        <f t="shared" si="7"/>
        <v>600.00000000000023</v>
      </c>
      <c r="O47" s="75"/>
    </row>
    <row r="48" spans="2:15" s="27" customFormat="1" ht="12" customHeight="1" x14ac:dyDescent="0.2">
      <c r="B48" s="109"/>
      <c r="E48" s="54" t="s">
        <v>118</v>
      </c>
      <c r="F48" s="28"/>
      <c r="G48" s="28"/>
      <c r="H48" s="29"/>
      <c r="I48" s="169">
        <f>SUMIF(Details!C:C,'2018-2019 Budget'!E48,Details!K:K)</f>
        <v>0</v>
      </c>
      <c r="J48" s="169">
        <f>SUMIF(Details!$C:$C,'2018-2019 Budget'!$E48,Details!L:L)</f>
        <v>0</v>
      </c>
      <c r="K48" s="169">
        <f>SUMIF(Details!$C:$C,'2018-2019 Budget'!$E48,Details!M:M)</f>
        <v>0</v>
      </c>
      <c r="L48" s="169">
        <f>SUMIF(Details!$C:$C,'2018-2019 Budget'!$E48,Details!N:N)</f>
        <v>0</v>
      </c>
      <c r="M48" s="169">
        <f>SUMIF(Details!$C:$C,'2018-2019 Budget'!$E48,Details!O:O)</f>
        <v>0</v>
      </c>
      <c r="N48" s="56">
        <f t="shared" si="7"/>
        <v>0</v>
      </c>
      <c r="O48" s="75"/>
    </row>
    <row r="49" spans="2:15" s="27" customFormat="1" ht="12" customHeight="1" x14ac:dyDescent="0.2">
      <c r="B49" s="109"/>
      <c r="E49" s="54" t="s">
        <v>27</v>
      </c>
      <c r="F49" s="28"/>
      <c r="G49" s="28"/>
      <c r="H49" s="29"/>
      <c r="I49" s="169">
        <f>SUMIF(Details!C:C,'2018-2019 Budget'!E49,Details!K:K)</f>
        <v>0</v>
      </c>
      <c r="J49" s="169">
        <f>SUMIF(Details!$C:$C,'2018-2019 Budget'!$E49,Details!L:L)</f>
        <v>0</v>
      </c>
      <c r="K49" s="169">
        <f>SUMIF(Details!$C:$C,'2018-2019 Budget'!$E49,Details!M:M)</f>
        <v>0</v>
      </c>
      <c r="L49" s="169">
        <f>SUMIF(Details!$C:$C,'2018-2019 Budget'!$E49,Details!N:N)</f>
        <v>0</v>
      </c>
      <c r="M49" s="169">
        <f>SUMIF(Details!$C:$C,'2018-2019 Budget'!$E49,Details!O:O)</f>
        <v>0</v>
      </c>
      <c r="N49" s="56">
        <f t="shared" si="7"/>
        <v>0</v>
      </c>
      <c r="O49" s="75"/>
    </row>
    <row r="50" spans="2:15" s="27" customFormat="1" ht="12" customHeight="1" x14ac:dyDescent="0.2">
      <c r="B50" s="109"/>
      <c r="E50" s="54" t="s">
        <v>28</v>
      </c>
      <c r="F50" s="28"/>
      <c r="G50" s="28"/>
      <c r="H50" s="29"/>
      <c r="I50" s="169">
        <f>SUMIF(Details!C:C,'2018-2019 Budget'!E50,Details!K:K)</f>
        <v>55020</v>
      </c>
      <c r="J50" s="169">
        <f>SUMIF(Details!$C:$C,'2018-2019 Budget'!$E50,Details!L:L)</f>
        <v>13776.000000000002</v>
      </c>
      <c r="K50" s="169">
        <f>SUMIF(Details!$C:$C,'2018-2019 Budget'!$E50,Details!M:M)</f>
        <v>0</v>
      </c>
      <c r="L50" s="169">
        <f>SUMIF(Details!$C:$C,'2018-2019 Budget'!$E50,Details!N:N)</f>
        <v>0</v>
      </c>
      <c r="M50" s="169">
        <f>SUMIF(Details!$C:$C,'2018-2019 Budget'!$E50,Details!O:O)</f>
        <v>0</v>
      </c>
      <c r="N50" s="56">
        <f t="shared" si="7"/>
        <v>68796</v>
      </c>
      <c r="O50" s="75"/>
    </row>
    <row r="51" spans="2:15" s="27" customFormat="1" ht="12" customHeight="1" x14ac:dyDescent="0.2">
      <c r="B51" s="109"/>
      <c r="E51" s="54" t="s">
        <v>134</v>
      </c>
      <c r="F51" s="28"/>
      <c r="G51" s="28"/>
      <c r="H51" s="29"/>
      <c r="I51" s="169">
        <f>SUMIF(Details!C:C,'2018-2019 Budget'!E51,Details!K:K)</f>
        <v>0</v>
      </c>
      <c r="J51" s="169">
        <f>SUMIF(Details!$C:$C,'2018-2019 Budget'!$E51,Details!L:L)</f>
        <v>0</v>
      </c>
      <c r="K51" s="169">
        <f>SUMIF(Details!$C:$C,'2018-2019 Budget'!$E51,Details!M:M)</f>
        <v>0</v>
      </c>
      <c r="L51" s="169">
        <f>SUMIF(Details!$C:$C,'2018-2019 Budget'!$E51,Details!N:N)</f>
        <v>0</v>
      </c>
      <c r="M51" s="169">
        <f>SUMIF(Details!$C:$C,'2018-2019 Budget'!$E51,Details!O:O)</f>
        <v>0</v>
      </c>
      <c r="N51" s="56">
        <f t="shared" si="7"/>
        <v>0</v>
      </c>
      <c r="O51" s="75"/>
    </row>
    <row r="52" spans="2:15" s="27" customFormat="1" ht="12" customHeight="1" x14ac:dyDescent="0.2">
      <c r="B52" s="109"/>
      <c r="D52" s="31"/>
      <c r="E52" s="119" t="s">
        <v>30</v>
      </c>
      <c r="F52" s="82"/>
      <c r="G52" s="82"/>
      <c r="H52" s="85"/>
      <c r="I52" s="53">
        <f t="shared" ref="I52:N52" si="8">SUM(I45:I51)</f>
        <v>188202.90609593873</v>
      </c>
      <c r="J52" s="53">
        <f t="shared" si="8"/>
        <v>46735.193772572209</v>
      </c>
      <c r="K52" s="53">
        <f t="shared" si="8"/>
        <v>0</v>
      </c>
      <c r="L52" s="53">
        <f t="shared" si="8"/>
        <v>0</v>
      </c>
      <c r="M52" s="53">
        <f t="shared" si="8"/>
        <v>14457.900131489107</v>
      </c>
      <c r="N52" s="57">
        <f t="shared" si="8"/>
        <v>249396.00000000003</v>
      </c>
      <c r="O52" s="75"/>
    </row>
    <row r="53" spans="2:15" s="27" customFormat="1" ht="7.5" customHeight="1" thickBot="1" x14ac:dyDescent="0.25">
      <c r="B53" s="109"/>
      <c r="C53" s="30"/>
      <c r="D53" s="31"/>
      <c r="F53" s="28"/>
      <c r="G53" s="28"/>
      <c r="H53" s="29"/>
      <c r="I53" s="29"/>
      <c r="J53" s="29"/>
      <c r="K53" s="29"/>
      <c r="L53" s="29"/>
      <c r="M53" s="29"/>
      <c r="N53" s="29"/>
      <c r="O53" s="75"/>
    </row>
    <row r="54" spans="2:15" s="27" customFormat="1" ht="12" customHeight="1" thickTop="1" x14ac:dyDescent="0.2">
      <c r="B54" s="107"/>
      <c r="C54" s="22"/>
      <c r="D54" s="22"/>
      <c r="E54" s="120" t="s">
        <v>31</v>
      </c>
      <c r="F54" s="121"/>
      <c r="G54" s="121"/>
      <c r="H54" s="122"/>
      <c r="I54" s="123">
        <f t="shared" ref="I54:N54" si="9">I52+I42+I31</f>
        <v>11680717.122152103</v>
      </c>
      <c r="J54" s="123">
        <f t="shared" si="9"/>
        <v>2282416.0277164062</v>
      </c>
      <c r="K54" s="123">
        <f t="shared" si="9"/>
        <v>0</v>
      </c>
      <c r="L54" s="123">
        <f t="shared" si="9"/>
        <v>0</v>
      </c>
      <c r="M54" s="123">
        <f t="shared" si="9"/>
        <v>1894922.8501314891</v>
      </c>
      <c r="N54" s="124">
        <f t="shared" si="9"/>
        <v>15858055.999999998</v>
      </c>
      <c r="O54" s="75"/>
    </row>
    <row r="55" spans="2:15" s="27" customFormat="1" ht="7.5" customHeight="1" x14ac:dyDescent="0.2">
      <c r="B55" s="110"/>
      <c r="C55" s="22"/>
      <c r="D55" s="22"/>
      <c r="F55" s="28"/>
      <c r="G55" s="28"/>
      <c r="H55" s="29"/>
      <c r="I55" s="91"/>
      <c r="J55" s="91"/>
      <c r="K55" s="91"/>
      <c r="L55" s="91"/>
      <c r="M55" s="91"/>
      <c r="N55" s="91"/>
      <c r="O55" s="63"/>
    </row>
    <row r="56" spans="2:15" s="27" customFormat="1" ht="12" customHeight="1" x14ac:dyDescent="0.2">
      <c r="B56" s="108"/>
      <c r="C56" s="26"/>
      <c r="D56" s="26"/>
      <c r="F56" s="28"/>
      <c r="G56" s="28"/>
      <c r="H56" s="29"/>
      <c r="I56" s="29"/>
      <c r="J56" s="29"/>
      <c r="K56" s="29"/>
      <c r="L56" s="29"/>
      <c r="M56" s="29"/>
      <c r="N56" s="29"/>
      <c r="O56" s="65" t="s">
        <v>124</v>
      </c>
    </row>
    <row r="57" spans="2:15" s="27" customFormat="1" ht="12" customHeight="1" x14ac:dyDescent="0.2">
      <c r="B57" s="107"/>
      <c r="C57" s="26"/>
      <c r="D57" s="26"/>
      <c r="E57" s="26" t="s">
        <v>32</v>
      </c>
      <c r="F57" s="28"/>
      <c r="G57" s="28"/>
      <c r="H57" s="29"/>
      <c r="I57" s="29"/>
      <c r="J57" s="29"/>
      <c r="K57" s="29"/>
      <c r="L57" s="29"/>
      <c r="M57" s="29"/>
      <c r="N57" s="29"/>
      <c r="O57" s="66"/>
    </row>
    <row r="58" spans="2:15" s="27" customFormat="1" ht="12" customHeight="1" x14ac:dyDescent="0.2">
      <c r="B58" s="109"/>
      <c r="D58" s="30"/>
      <c r="E58" s="22" t="s">
        <v>33</v>
      </c>
      <c r="F58" s="28"/>
      <c r="G58" s="28" t="s">
        <v>34</v>
      </c>
      <c r="H58" s="29"/>
      <c r="I58" s="29"/>
      <c r="J58" s="29"/>
      <c r="K58" s="29"/>
      <c r="L58" s="29"/>
      <c r="M58" s="29"/>
      <c r="N58" s="29"/>
      <c r="O58" s="63"/>
    </row>
    <row r="59" spans="2:15" s="27" customFormat="1" ht="12" customHeight="1" x14ac:dyDescent="0.2">
      <c r="B59" s="109"/>
      <c r="E59" s="89" t="s">
        <v>35</v>
      </c>
      <c r="F59" s="36"/>
      <c r="G59" s="77">
        <f>SUMIF(Details!C:C,'2018-2019 Budget'!E59,Details!D:D)</f>
        <v>0.7</v>
      </c>
      <c r="H59" s="29"/>
      <c r="I59" s="169">
        <f>SUMIF(Details!C:C,'2018-2019 Budget'!E59,Details!K:K)</f>
        <v>132999.75</v>
      </c>
      <c r="J59" s="169">
        <f>SUMIF(Details!$C:$C,'2018-2019 Budget'!$E59,Details!L:L)</f>
        <v>20461.5</v>
      </c>
      <c r="K59" s="169">
        <f>SUMIF(Details!$C:$C,'2018-2019 Budget'!$E59,Details!M:M)</f>
        <v>0</v>
      </c>
      <c r="L59" s="169">
        <f>SUMIF(Details!$C:$C,'2018-2019 Budget'!$E59,Details!N:N)</f>
        <v>0</v>
      </c>
      <c r="M59" s="169">
        <f>SUMIF(Details!$C:$C,'2018-2019 Budget'!$E59,Details!O:O)</f>
        <v>51153.75</v>
      </c>
      <c r="N59" s="56">
        <f t="shared" ref="N59:N64" si="10">SUM(I59:M59)</f>
        <v>204615</v>
      </c>
      <c r="O59" s="175" t="s">
        <v>379</v>
      </c>
    </row>
    <row r="60" spans="2:15" s="27" customFormat="1" ht="12" customHeight="1" x14ac:dyDescent="0.2">
      <c r="B60" s="109"/>
      <c r="E60" s="89" t="s">
        <v>36</v>
      </c>
      <c r="F60" s="36"/>
      <c r="G60" s="77">
        <f>SUMIF(Details!C:C,'2018-2019 Budget'!E60,Details!D:D)</f>
        <v>4</v>
      </c>
      <c r="H60" s="29"/>
      <c r="I60" s="169">
        <f>SUMIF(Details!C:C,'2018-2019 Budget'!E60,Details!K:K)</f>
        <v>372776.1147741148</v>
      </c>
      <c r="J60" s="169">
        <f>SUMIF(Details!$C:$C,'2018-2019 Budget'!$E60,Details!L:L)</f>
        <v>65533.885225885228</v>
      </c>
      <c r="K60" s="169">
        <f>SUMIF(Details!$C:$C,'2018-2019 Budget'!$E60,Details!M:M)</f>
        <v>0</v>
      </c>
      <c r="L60" s="169">
        <f>SUMIF(Details!$C:$C,'2018-2019 Budget'!$E60,Details!N:N)</f>
        <v>0</v>
      </c>
      <c r="M60" s="169">
        <f>SUMIF(Details!$C:$C,'2018-2019 Budget'!$E60,Details!O:O)</f>
        <v>110770</v>
      </c>
      <c r="N60" s="56">
        <f t="shared" si="10"/>
        <v>549080</v>
      </c>
      <c r="O60" s="175" t="s">
        <v>370</v>
      </c>
    </row>
    <row r="61" spans="2:15" s="27" customFormat="1" ht="12" customHeight="1" x14ac:dyDescent="0.2">
      <c r="B61" s="109"/>
      <c r="E61" s="89" t="s">
        <v>37</v>
      </c>
      <c r="F61" s="36"/>
      <c r="G61" s="77">
        <f>SUMIF(Details!C:C,'2018-2019 Budget'!E61,Details!D:D)</f>
        <v>19.7</v>
      </c>
      <c r="H61" s="29"/>
      <c r="I61" s="169">
        <f>SUMIF(Details!C:C,'2018-2019 Budget'!E61,Details!K:K)</f>
        <v>1109357.264957265</v>
      </c>
      <c r="J61" s="169">
        <f>SUMIF(Details!$C:$C,'2018-2019 Budget'!$E61,Details!L:L)</f>
        <v>277762.73504273506</v>
      </c>
      <c r="K61" s="169">
        <f>SUMIF(Details!$C:$C,'2018-2019 Budget'!$E61,Details!M:M)</f>
        <v>0</v>
      </c>
      <c r="L61" s="169">
        <f>SUMIF(Details!$C:$C,'2018-2019 Budget'!$E61,Details!N:N)</f>
        <v>0</v>
      </c>
      <c r="M61" s="169">
        <f>SUMIF(Details!$C:$C,'2018-2019 Budget'!$E61,Details!O:O)</f>
        <v>169695</v>
      </c>
      <c r="N61" s="56">
        <f t="shared" si="10"/>
        <v>1556815</v>
      </c>
      <c r="O61" s="175"/>
    </row>
    <row r="62" spans="2:15" s="27" customFormat="1" ht="12" customHeight="1" x14ac:dyDescent="0.2">
      <c r="B62" s="109"/>
      <c r="E62" s="89" t="s">
        <v>38</v>
      </c>
      <c r="F62" s="36"/>
      <c r="G62" s="77">
        <f>SUMIF(Details!C:C,'2018-2019 Budget'!E62,Details!D:D)</f>
        <v>1</v>
      </c>
      <c r="H62" s="29"/>
      <c r="I62" s="169">
        <f>SUMIF(Details!C:C,'2018-2019 Budget'!E62,Details!K:K)</f>
        <v>0</v>
      </c>
      <c r="J62" s="169">
        <f>SUMIF(Details!$C:$C,'2018-2019 Budget'!$E62,Details!L:L)</f>
        <v>0</v>
      </c>
      <c r="K62" s="169">
        <f>SUMIF(Details!$C:$C,'2018-2019 Budget'!$E62,Details!M:M)</f>
        <v>0</v>
      </c>
      <c r="L62" s="169">
        <f>SUMIF(Details!$C:$C,'2018-2019 Budget'!$E62,Details!N:N)</f>
        <v>0</v>
      </c>
      <c r="M62" s="169">
        <f>SUMIF(Details!$C:$C,'2018-2019 Budget'!$E62,Details!O:O)</f>
        <v>114500</v>
      </c>
      <c r="N62" s="56">
        <f t="shared" si="10"/>
        <v>114500</v>
      </c>
      <c r="O62" s="175" t="s">
        <v>371</v>
      </c>
    </row>
    <row r="63" spans="2:15" s="27" customFormat="1" ht="12" customHeight="1" x14ac:dyDescent="0.2">
      <c r="B63" s="109"/>
      <c r="E63" s="89" t="s">
        <v>39</v>
      </c>
      <c r="F63" s="36"/>
      <c r="G63" s="77">
        <f>SUMIF(Details!C:C,'2018-2019 Budget'!E63,Details!D:D)</f>
        <v>3</v>
      </c>
      <c r="H63" s="29"/>
      <c r="I63" s="169">
        <f>SUMIF(Details!C:C,'2018-2019 Budget'!E63,Details!K:K)</f>
        <v>0</v>
      </c>
      <c r="J63" s="169">
        <f>SUMIF(Details!$C:$C,'2018-2019 Budget'!$E63,Details!L:L)</f>
        <v>0</v>
      </c>
      <c r="K63" s="169">
        <f>SUMIF(Details!$C:$C,'2018-2019 Budget'!$E63,Details!M:M)</f>
        <v>0</v>
      </c>
      <c r="L63" s="169">
        <f>SUMIF(Details!$C:$C,'2018-2019 Budget'!$E63,Details!N:N)</f>
        <v>0</v>
      </c>
      <c r="M63" s="169">
        <f>SUMIF(Details!$C:$C,'2018-2019 Budget'!$E63,Details!O:O)</f>
        <v>238407</v>
      </c>
      <c r="N63" s="56">
        <f t="shared" si="10"/>
        <v>238407</v>
      </c>
      <c r="O63" s="175"/>
    </row>
    <row r="64" spans="2:15" s="27" customFormat="1" ht="12" customHeight="1" x14ac:dyDescent="0.2">
      <c r="B64" s="109"/>
      <c r="E64" s="89" t="s">
        <v>40</v>
      </c>
      <c r="F64" s="37"/>
      <c r="G64" s="77">
        <f>SUMIF(Details!C:C,'2018-2019 Budget'!E64,Details!D:D)</f>
        <v>11.4</v>
      </c>
      <c r="H64" s="29"/>
      <c r="I64" s="169">
        <f>SUMIF(Details!C:C,'2018-2019 Budget'!E64,Details!K:K)</f>
        <v>32582.994993894998</v>
      </c>
      <c r="J64" s="169">
        <f>SUMIF(Details!$C:$C,'2018-2019 Budget'!$E64,Details!L:L)</f>
        <v>8158.1850061050063</v>
      </c>
      <c r="K64" s="169">
        <f>SUMIF(Details!$C:$C,'2018-2019 Budget'!$E64,Details!M:M)</f>
        <v>0</v>
      </c>
      <c r="L64" s="169">
        <f>SUMIF(Details!$C:$C,'2018-2019 Budget'!$E64,Details!N:N)</f>
        <v>0</v>
      </c>
      <c r="M64" s="169">
        <f>SUMIF(Details!$C:$C,'2018-2019 Budget'!$E64,Details!O:O)</f>
        <v>580117</v>
      </c>
      <c r="N64" s="56">
        <f t="shared" si="10"/>
        <v>620858.18000000005</v>
      </c>
      <c r="O64" s="175"/>
    </row>
    <row r="65" spans="2:15" s="27" customFormat="1" ht="12" customHeight="1" x14ac:dyDescent="0.2">
      <c r="B65" s="109"/>
      <c r="E65" s="38" t="s">
        <v>41</v>
      </c>
      <c r="F65" s="36"/>
      <c r="G65" s="53">
        <f>SUM(G59:G64)</f>
        <v>39.799999999999997</v>
      </c>
      <c r="H65" s="29"/>
      <c r="I65" s="53">
        <f t="shared" ref="I65:N65" si="11">SUM(I59:I64)</f>
        <v>1647716.124725275</v>
      </c>
      <c r="J65" s="53">
        <f t="shared" si="11"/>
        <v>371916.30527472531</v>
      </c>
      <c r="K65" s="53">
        <f t="shared" si="11"/>
        <v>0</v>
      </c>
      <c r="L65" s="53">
        <f t="shared" si="11"/>
        <v>0</v>
      </c>
      <c r="M65" s="53">
        <f t="shared" si="11"/>
        <v>1264642.75</v>
      </c>
      <c r="N65" s="57">
        <f t="shared" si="11"/>
        <v>3284275.18</v>
      </c>
      <c r="O65" s="75"/>
    </row>
    <row r="66" spans="2:15" s="27" customFormat="1" ht="7.5" customHeight="1" x14ac:dyDescent="0.2">
      <c r="B66" s="109"/>
      <c r="D66" s="35"/>
      <c r="E66" s="35"/>
      <c r="F66" s="36"/>
      <c r="G66" s="36"/>
      <c r="H66" s="29"/>
      <c r="I66" s="29"/>
      <c r="J66" s="29"/>
      <c r="K66" s="29"/>
      <c r="L66" s="29"/>
      <c r="M66" s="29"/>
      <c r="N66" s="29"/>
      <c r="O66" s="63"/>
    </row>
    <row r="67" spans="2:15" s="27" customFormat="1" ht="12" customHeight="1" x14ac:dyDescent="0.2">
      <c r="B67" s="109"/>
      <c r="D67" s="30"/>
      <c r="E67" s="22" t="s">
        <v>42</v>
      </c>
      <c r="F67" s="28"/>
      <c r="G67" s="28"/>
      <c r="H67" s="29"/>
      <c r="I67" s="29"/>
      <c r="J67" s="29"/>
      <c r="K67" s="29"/>
      <c r="L67" s="29"/>
      <c r="M67" s="29"/>
      <c r="N67" s="29"/>
      <c r="O67" s="63"/>
    </row>
    <row r="68" spans="2:15" s="27" customFormat="1" ht="12" customHeight="1" x14ac:dyDescent="0.2">
      <c r="B68" s="109"/>
      <c r="E68" s="89" t="s">
        <v>43</v>
      </c>
      <c r="F68" s="36"/>
      <c r="G68" s="77">
        <f>SUMIF(Details!C:C,'2018-2019 Budget'!E68,Details!D:D)</f>
        <v>47</v>
      </c>
      <c r="H68" s="29"/>
      <c r="I68" s="169">
        <f>SUMIF(Details!C:C,'2018-2019 Budget'!E68,Details!K:K)</f>
        <v>2584867.5274725277</v>
      </c>
      <c r="J68" s="169">
        <f>SUMIF(Details!$C:$C,'2018-2019 Budget'!$E68,Details!L:L)</f>
        <v>647203.47252747254</v>
      </c>
      <c r="K68" s="169">
        <f>SUMIF(Details!$C:$C,'2018-2019 Budget'!$E68,Details!M:M)</f>
        <v>0</v>
      </c>
      <c r="L68" s="169">
        <f>SUMIF(Details!$C:$C,'2018-2019 Budget'!$E68,Details!N:N)</f>
        <v>0</v>
      </c>
      <c r="M68" s="169">
        <f>SUMIF(Details!$C:$C,'2018-2019 Budget'!$E68,Details!O:O)</f>
        <v>0</v>
      </c>
      <c r="N68" s="56">
        <f t="shared" ref="N68:N74" si="12">SUM(I68:M68)</f>
        <v>3232071</v>
      </c>
      <c r="O68" s="175" t="s">
        <v>372</v>
      </c>
    </row>
    <row r="69" spans="2:15" s="27" customFormat="1" ht="12" customHeight="1" x14ac:dyDescent="0.2">
      <c r="B69" s="109"/>
      <c r="E69" s="89" t="s">
        <v>44</v>
      </c>
      <c r="F69" s="36"/>
      <c r="G69" s="77">
        <f>SUMIF(Details!C:C,'2018-2019 Budget'!E69,Details!D:D)</f>
        <v>0</v>
      </c>
      <c r="H69" s="29"/>
      <c r="I69" s="169">
        <f>SUMIF(Details!C:C,'2018-2019 Budget'!E69,Details!K:K)</f>
        <v>0</v>
      </c>
      <c r="J69" s="169">
        <f>SUMIF(Details!$C:$C,'2018-2019 Budget'!$E69,Details!L:L)</f>
        <v>0</v>
      </c>
      <c r="K69" s="169">
        <f>SUMIF(Details!$C:$C,'2018-2019 Budget'!$E69,Details!M:M)</f>
        <v>0</v>
      </c>
      <c r="L69" s="169">
        <f>SUMIF(Details!$C:$C,'2018-2019 Budget'!$E69,Details!N:N)</f>
        <v>0</v>
      </c>
      <c r="M69" s="169">
        <f>SUMIF(Details!$C:$C,'2018-2019 Budget'!$E69,Details!O:O)</f>
        <v>0</v>
      </c>
      <c r="N69" s="56">
        <f t="shared" si="12"/>
        <v>0</v>
      </c>
      <c r="O69" s="175"/>
    </row>
    <row r="70" spans="2:15" s="27" customFormat="1" ht="12" customHeight="1" x14ac:dyDescent="0.2">
      <c r="B70" s="109"/>
      <c r="E70" s="89" t="s">
        <v>45</v>
      </c>
      <c r="F70" s="36"/>
      <c r="G70" s="77">
        <f>SUMIF(Details!C:C,'2018-2019 Budget'!E70,Details!D:D)</f>
        <v>1</v>
      </c>
      <c r="H70" s="29"/>
      <c r="I70" s="169">
        <f>SUMIF(Details!C:C,'2018-2019 Budget'!E70,Details!K:K)</f>
        <v>29696.53235653236</v>
      </c>
      <c r="J70" s="169">
        <f>SUMIF(Details!$C:$C,'2018-2019 Budget'!$E70,Details!L:L)</f>
        <v>7435.4676434676439</v>
      </c>
      <c r="K70" s="169">
        <f>SUMIF(Details!$C:$C,'2018-2019 Budget'!$E70,Details!M:M)</f>
        <v>0</v>
      </c>
      <c r="L70" s="169">
        <f>SUMIF(Details!$C:$C,'2018-2019 Budget'!$E70,Details!N:N)</f>
        <v>0</v>
      </c>
      <c r="M70" s="169">
        <f>SUMIF(Details!$C:$C,'2018-2019 Budget'!$E70,Details!O:O)</f>
        <v>0</v>
      </c>
      <c r="N70" s="56">
        <f t="shared" si="12"/>
        <v>37132</v>
      </c>
      <c r="O70" s="175" t="s">
        <v>373</v>
      </c>
    </row>
    <row r="71" spans="2:15" s="27" customFormat="1" ht="12" customHeight="1" x14ac:dyDescent="0.2">
      <c r="B71" s="109"/>
      <c r="E71" s="89" t="s">
        <v>46</v>
      </c>
      <c r="F71" s="36"/>
      <c r="G71" s="77">
        <f>SUMIF(Details!C:C,'2018-2019 Budget'!E71,Details!D:D)</f>
        <v>5</v>
      </c>
      <c r="H71" s="29"/>
      <c r="I71" s="169">
        <f>SUMIF(Details!C:C,'2018-2019 Budget'!E71,Details!K:K)</f>
        <v>232655.3601953602</v>
      </c>
      <c r="J71" s="169">
        <f>SUMIF(Details!$C:$C,'2018-2019 Budget'!$E71,Details!L:L)</f>
        <v>58252.63980463981</v>
      </c>
      <c r="K71" s="169">
        <f>SUMIF(Details!$C:$C,'2018-2019 Budget'!$E71,Details!M:M)</f>
        <v>0</v>
      </c>
      <c r="L71" s="169">
        <f>SUMIF(Details!$C:$C,'2018-2019 Budget'!$E71,Details!N:N)</f>
        <v>0</v>
      </c>
      <c r="M71" s="169">
        <f>SUMIF(Details!$C:$C,'2018-2019 Budget'!$E71,Details!O:O)</f>
        <v>0</v>
      </c>
      <c r="N71" s="56">
        <f t="shared" si="12"/>
        <v>290908</v>
      </c>
      <c r="O71" s="175" t="s">
        <v>374</v>
      </c>
    </row>
    <row r="72" spans="2:15" s="27" customFormat="1" ht="12" customHeight="1" x14ac:dyDescent="0.2">
      <c r="B72" s="109"/>
      <c r="E72" s="89" t="s">
        <v>47</v>
      </c>
      <c r="F72" s="36"/>
      <c r="G72" s="77">
        <f>SUMIF(Details!C:C,'2018-2019 Budget'!E72,Details!D:D)</f>
        <v>27</v>
      </c>
      <c r="H72" s="29"/>
      <c r="I72" s="169">
        <f>SUMIF(Details!C:C,'2018-2019 Budget'!E72,Details!K:K)</f>
        <v>1470550.9768009768</v>
      </c>
      <c r="J72" s="169">
        <f>SUMIF(Details!$C:$C,'2018-2019 Budget'!$E72,Details!L:L)</f>
        <v>368199.02319902321</v>
      </c>
      <c r="K72" s="169">
        <f>SUMIF(Details!$C:$C,'2018-2019 Budget'!$E72,Details!M:M)</f>
        <v>0</v>
      </c>
      <c r="L72" s="169">
        <f>SUMIF(Details!$C:$C,'2018-2019 Budget'!$E72,Details!N:N)</f>
        <v>0</v>
      </c>
      <c r="M72" s="169">
        <f>SUMIF(Details!$C:$C,'2018-2019 Budget'!$E72,Details!O:O)</f>
        <v>0</v>
      </c>
      <c r="N72" s="56">
        <f t="shared" si="12"/>
        <v>1838750</v>
      </c>
      <c r="O72" s="175" t="s">
        <v>377</v>
      </c>
    </row>
    <row r="73" spans="2:15" s="27" customFormat="1" ht="12" customHeight="1" x14ac:dyDescent="0.2">
      <c r="B73" s="109"/>
      <c r="E73" s="89" t="s">
        <v>48</v>
      </c>
      <c r="F73" s="36"/>
      <c r="G73" s="77">
        <f>SUMIF(Details!C:C,'2018-2019 Budget'!E73,Details!D:D)</f>
        <v>0</v>
      </c>
      <c r="H73" s="29"/>
      <c r="I73" s="169">
        <f>SUMIF(Details!C:C,'2018-2019 Budget'!E73,Details!K:K)</f>
        <v>0</v>
      </c>
      <c r="J73" s="169">
        <f>SUMIF(Details!$C:$C,'2018-2019 Budget'!$E73,Details!L:L)</f>
        <v>0</v>
      </c>
      <c r="K73" s="169">
        <f>SUMIF(Details!$C:$C,'2018-2019 Budget'!$E73,Details!M:M)</f>
        <v>0</v>
      </c>
      <c r="L73" s="169">
        <f>SUMIF(Details!$C:$C,'2018-2019 Budget'!$E73,Details!N:N)</f>
        <v>0</v>
      </c>
      <c r="M73" s="169">
        <f>SUMIF(Details!$C:$C,'2018-2019 Budget'!$E73,Details!O:O)</f>
        <v>0</v>
      </c>
      <c r="N73" s="56">
        <f t="shared" si="12"/>
        <v>0</v>
      </c>
      <c r="O73" s="175"/>
    </row>
    <row r="74" spans="2:15" s="27" customFormat="1" ht="12" customHeight="1" x14ac:dyDescent="0.2">
      <c r="B74" s="109"/>
      <c r="E74" s="89" t="s">
        <v>49</v>
      </c>
      <c r="F74" s="36"/>
      <c r="G74" s="77">
        <f>SUMIF(Details!C:C,'2018-2019 Budget'!E74,Details!D:D)</f>
        <v>5</v>
      </c>
      <c r="H74" s="29"/>
      <c r="I74" s="169">
        <f>SUMIF(Details!C:C,'2018-2019 Budget'!E74,Details!K:K)</f>
        <v>324042.65567765571</v>
      </c>
      <c r="J74" s="169">
        <f>SUMIF(Details!$C:$C,'2018-2019 Budget'!$E74,Details!L:L)</f>
        <v>81134.344322344317</v>
      </c>
      <c r="K74" s="169">
        <f>SUMIF(Details!$C:$C,'2018-2019 Budget'!$E74,Details!M:M)</f>
        <v>0</v>
      </c>
      <c r="L74" s="169">
        <f>SUMIF(Details!$C:$C,'2018-2019 Budget'!$E74,Details!N:N)</f>
        <v>0</v>
      </c>
      <c r="M74" s="169">
        <f>SUMIF(Details!$C:$C,'2018-2019 Budget'!$E74,Details!O:O)</f>
        <v>0</v>
      </c>
      <c r="N74" s="56">
        <f t="shared" si="12"/>
        <v>405177</v>
      </c>
      <c r="O74" s="175" t="s">
        <v>375</v>
      </c>
    </row>
    <row r="75" spans="2:15" s="27" customFormat="1" ht="12" customHeight="1" x14ac:dyDescent="0.2">
      <c r="B75" s="109"/>
      <c r="E75" s="89" t="s">
        <v>226</v>
      </c>
      <c r="F75" s="37"/>
      <c r="G75" s="77">
        <f>SUMIF(Details!C:C,'2018-2019 Budget'!E75,Details!D:D)</f>
        <v>0</v>
      </c>
      <c r="H75" s="29"/>
      <c r="I75" s="169">
        <f>SUMIF(Details!C:C,'2018-2019 Budget'!E75,Details!K:K)</f>
        <v>131959.70695970696</v>
      </c>
      <c r="J75" s="169">
        <f>SUMIF(Details!$C:$C,'2018-2019 Budget'!$E75,Details!L:L)</f>
        <v>33040.293040293043</v>
      </c>
      <c r="K75" s="169">
        <f>SUMIF(Details!$C:$C,'2018-2019 Budget'!$E75,Details!M:M)</f>
        <v>0</v>
      </c>
      <c r="L75" s="169">
        <f>SUMIF(Details!$C:$C,'2018-2019 Budget'!$E75,Details!N:N)</f>
        <v>0</v>
      </c>
      <c r="M75" s="169">
        <f>SUMIF(Details!$C:$C,'2018-2019 Budget'!$E75,Details!O:O)</f>
        <v>5000</v>
      </c>
      <c r="N75" s="56">
        <f>SUM(I75:M75)</f>
        <v>170000</v>
      </c>
      <c r="O75" s="175" t="s">
        <v>376</v>
      </c>
    </row>
    <row r="76" spans="2:15" s="27" customFormat="1" ht="12" customHeight="1" x14ac:dyDescent="0.2">
      <c r="B76" s="109"/>
      <c r="E76" s="129" t="s">
        <v>50</v>
      </c>
      <c r="F76" s="131"/>
      <c r="G76" s="53">
        <f>SUM(G68:G75)</f>
        <v>85</v>
      </c>
      <c r="H76" s="29"/>
      <c r="I76" s="53">
        <f t="shared" ref="I76:N76" si="13">SUM(I68:I75)</f>
        <v>4773772.7594627598</v>
      </c>
      <c r="J76" s="53">
        <f t="shared" si="13"/>
        <v>1195265.2405372404</v>
      </c>
      <c r="K76" s="53">
        <f t="shared" si="13"/>
        <v>0</v>
      </c>
      <c r="L76" s="53">
        <f t="shared" si="13"/>
        <v>0</v>
      </c>
      <c r="M76" s="53">
        <f t="shared" si="13"/>
        <v>5000</v>
      </c>
      <c r="N76" s="57">
        <f t="shared" si="13"/>
        <v>5974038</v>
      </c>
      <c r="O76" s="75"/>
    </row>
    <row r="77" spans="2:15" s="27" customFormat="1" ht="7.5" customHeight="1" x14ac:dyDescent="0.2">
      <c r="B77" s="109"/>
      <c r="D77" s="35"/>
      <c r="E77" s="35"/>
      <c r="F77" s="36"/>
      <c r="G77" s="36"/>
      <c r="H77" s="29"/>
      <c r="I77" s="29"/>
      <c r="J77" s="29"/>
      <c r="K77" s="29"/>
      <c r="L77" s="29"/>
      <c r="M77" s="29"/>
      <c r="N77" s="29"/>
      <c r="O77" s="63"/>
    </row>
    <row r="78" spans="2:15" s="27" customFormat="1" ht="12" customHeight="1" x14ac:dyDescent="0.2">
      <c r="B78" s="109"/>
      <c r="E78" s="22" t="s">
        <v>51</v>
      </c>
      <c r="F78" s="17"/>
      <c r="G78" s="17"/>
      <c r="H78" s="29"/>
      <c r="I78" s="29"/>
      <c r="J78" s="29"/>
      <c r="K78" s="29"/>
      <c r="L78" s="29"/>
      <c r="M78" s="29"/>
      <c r="N78" s="29"/>
      <c r="O78" s="63"/>
    </row>
    <row r="79" spans="2:15" s="27" customFormat="1" ht="12" customHeight="1" x14ac:dyDescent="0.2">
      <c r="B79" s="109"/>
      <c r="E79" s="89" t="s">
        <v>52</v>
      </c>
      <c r="F79" s="36"/>
      <c r="G79" s="77">
        <f>SUMIF(Details!C:C,'2018-2019 Budget'!E79,Details!D:D)</f>
        <v>0</v>
      </c>
      <c r="H79" s="29"/>
      <c r="I79" s="169">
        <f>SUMIF(Details!C:C,'2018-2019 Budget'!E79,Details!K:K)</f>
        <v>0</v>
      </c>
      <c r="J79" s="169">
        <f>SUMIF(Details!$C:$C,'2018-2019 Budget'!$E79,Details!L:L)</f>
        <v>0</v>
      </c>
      <c r="K79" s="169">
        <f>SUMIF(Details!$C:$C,'2018-2019 Budget'!$E79,Details!M:M)</f>
        <v>0</v>
      </c>
      <c r="L79" s="169">
        <f>SUMIF(Details!$C:$C,'2018-2019 Budget'!$E79,Details!N:N)</f>
        <v>0</v>
      </c>
      <c r="M79" s="169">
        <f>SUMIF(Details!$C:$C,'2018-2019 Budget'!$E79,Details!O:O)</f>
        <v>0</v>
      </c>
      <c r="N79" s="56">
        <f>SUM(I79:M79)</f>
        <v>0</v>
      </c>
      <c r="O79" s="75"/>
    </row>
    <row r="80" spans="2:15" s="27" customFormat="1" ht="12" customHeight="1" x14ac:dyDescent="0.2">
      <c r="B80" s="109"/>
      <c r="E80" s="89" t="s">
        <v>53</v>
      </c>
      <c r="F80" s="36"/>
      <c r="G80" s="77">
        <f>SUMIF(Details!C:C,'2018-2019 Budget'!E80,Details!D:D)</f>
        <v>0</v>
      </c>
      <c r="H80" s="29"/>
      <c r="I80" s="169">
        <f>SUMIF(Details!C:C,'2018-2019 Budget'!E80,Details!K:K)</f>
        <v>0</v>
      </c>
      <c r="J80" s="169">
        <f>SUMIF(Details!$C:$C,'2018-2019 Budget'!$E80,Details!L:L)</f>
        <v>0</v>
      </c>
      <c r="K80" s="169">
        <f>SUMIF(Details!$C:$C,'2018-2019 Budget'!$E80,Details!M:M)</f>
        <v>0</v>
      </c>
      <c r="L80" s="169">
        <f>SUMIF(Details!$C:$C,'2018-2019 Budget'!$E80,Details!N:N)</f>
        <v>0</v>
      </c>
      <c r="M80" s="169">
        <f>SUMIF(Details!$C:$C,'2018-2019 Budget'!$E80,Details!O:O)</f>
        <v>0</v>
      </c>
      <c r="N80" s="56">
        <f>SUM(I80:M80)</f>
        <v>0</v>
      </c>
      <c r="O80" s="75"/>
    </row>
    <row r="81" spans="2:15" s="27" customFormat="1" ht="12" customHeight="1" x14ac:dyDescent="0.2">
      <c r="B81" s="109"/>
      <c r="E81" s="89" t="s">
        <v>54</v>
      </c>
      <c r="F81" s="36"/>
      <c r="G81" s="77">
        <f>SUMIF(Details!C:C,'2018-2019 Budget'!E81,Details!D:D)</f>
        <v>4</v>
      </c>
      <c r="H81" s="29"/>
      <c r="I81" s="169">
        <f>SUMIF(Details!C:C,'2018-2019 Budget'!E81,Details!K:K)</f>
        <v>0</v>
      </c>
      <c r="J81" s="169">
        <f>SUMIF(Details!$C:$C,'2018-2019 Budget'!$E81,Details!L:L)</f>
        <v>0</v>
      </c>
      <c r="K81" s="169">
        <f>SUMIF(Details!$C:$C,'2018-2019 Budget'!$E81,Details!M:M)</f>
        <v>0</v>
      </c>
      <c r="L81" s="169">
        <f>SUMIF(Details!$C:$C,'2018-2019 Budget'!$E81,Details!N:N)</f>
        <v>0</v>
      </c>
      <c r="M81" s="169">
        <f>SUMIF(Details!$C:$C,'2018-2019 Budget'!$E81,Details!O:O)</f>
        <v>122400</v>
      </c>
      <c r="N81" s="56">
        <f>SUM(I81:M81)</f>
        <v>122400</v>
      </c>
      <c r="O81" s="75"/>
    </row>
    <row r="82" spans="2:15" s="27" customFormat="1" ht="12" customHeight="1" x14ac:dyDescent="0.2">
      <c r="B82" s="109"/>
      <c r="E82" s="89" t="s">
        <v>55</v>
      </c>
      <c r="F82" s="36"/>
      <c r="G82" s="77">
        <f>SUMIF(Details!C:C,'2018-2019 Budget'!E82,Details!D:D)</f>
        <v>2</v>
      </c>
      <c r="H82" s="29"/>
      <c r="I82" s="169">
        <f>SUMIF(Details!C:C,'2018-2019 Budget'!E82,Details!K:K)</f>
        <v>0</v>
      </c>
      <c r="J82" s="169">
        <f>SUMIF(Details!$C:$C,'2018-2019 Budget'!$E82,Details!L:L)</f>
        <v>0</v>
      </c>
      <c r="K82" s="169">
        <f>SUMIF(Details!$C:$C,'2018-2019 Budget'!$E82,Details!M:M)</f>
        <v>0</v>
      </c>
      <c r="L82" s="169">
        <f>SUMIF(Details!$C:$C,'2018-2019 Budget'!$E82,Details!N:N)</f>
        <v>0</v>
      </c>
      <c r="M82" s="169">
        <f>SUMIF(Details!$C:$C,'2018-2019 Budget'!$E82,Details!O:O)</f>
        <v>68500</v>
      </c>
      <c r="N82" s="56">
        <f>SUM(I82:M82)</f>
        <v>68500</v>
      </c>
      <c r="O82" s="75"/>
    </row>
    <row r="83" spans="2:15" s="27" customFormat="1" ht="12" customHeight="1" x14ac:dyDescent="0.2">
      <c r="B83" s="109"/>
      <c r="E83" s="153" t="s">
        <v>213</v>
      </c>
      <c r="F83" s="37"/>
      <c r="G83" s="77">
        <f>SUMIF(Details!C:C,'2018-2019 Budget'!E83,Details!D:D)</f>
        <v>0.7</v>
      </c>
      <c r="H83" s="29"/>
      <c r="I83" s="169">
        <f>SUMIF(Details!C:C,'2018-2019 Budget'!E83,Details!K:K)</f>
        <v>0</v>
      </c>
      <c r="J83" s="169">
        <f>SUMIF(Details!$C:$C,'2018-2019 Budget'!$E83,Details!L:L)</f>
        <v>0</v>
      </c>
      <c r="K83" s="169">
        <f>SUMIF(Details!$C:$C,'2018-2019 Budget'!$E83,Details!M:M)</f>
        <v>0</v>
      </c>
      <c r="L83" s="169">
        <f>SUMIF(Details!$C:$C,'2018-2019 Budget'!$E83,Details!N:N)</f>
        <v>0</v>
      </c>
      <c r="M83" s="169">
        <f>SUMIF(Details!$C:$C,'2018-2019 Budget'!$E83,Details!O:O)</f>
        <v>56350</v>
      </c>
      <c r="N83" s="56">
        <f>SUM(I83:M83)</f>
        <v>56350</v>
      </c>
      <c r="O83" s="175" t="s">
        <v>378</v>
      </c>
    </row>
    <row r="84" spans="2:15" s="27" customFormat="1" ht="12" customHeight="1" x14ac:dyDescent="0.2">
      <c r="B84" s="109"/>
      <c r="E84" s="38" t="s">
        <v>56</v>
      </c>
      <c r="F84" s="36"/>
      <c r="G84" s="53">
        <f>SUM(G79:G83)</f>
        <v>6.7</v>
      </c>
      <c r="H84" s="29"/>
      <c r="I84" s="53">
        <f t="shared" ref="I84:N84" si="14">SUM(I79:I83)</f>
        <v>0</v>
      </c>
      <c r="J84" s="53">
        <f t="shared" si="14"/>
        <v>0</v>
      </c>
      <c r="K84" s="53">
        <f t="shared" si="14"/>
        <v>0</v>
      </c>
      <c r="L84" s="53">
        <f t="shared" si="14"/>
        <v>0</v>
      </c>
      <c r="M84" s="53">
        <f t="shared" si="14"/>
        <v>247250</v>
      </c>
      <c r="N84" s="57">
        <f t="shared" si="14"/>
        <v>247250</v>
      </c>
      <c r="O84" s="75"/>
    </row>
    <row r="85" spans="2:15" s="27" customFormat="1" ht="7.5" customHeight="1" x14ac:dyDescent="0.2">
      <c r="B85" s="109"/>
      <c r="D85" s="35"/>
      <c r="E85" s="35"/>
      <c r="F85" s="36"/>
      <c r="G85" s="36"/>
      <c r="H85" s="29"/>
      <c r="I85" s="29"/>
      <c r="J85" s="29"/>
      <c r="K85" s="29"/>
      <c r="L85" s="29"/>
      <c r="M85" s="29"/>
      <c r="N85" s="29"/>
      <c r="O85" s="63"/>
    </row>
    <row r="86" spans="2:15" s="27" customFormat="1" ht="12" customHeight="1" x14ac:dyDescent="0.2">
      <c r="B86" s="109"/>
      <c r="D86" s="30"/>
      <c r="E86" s="38" t="s">
        <v>57</v>
      </c>
      <c r="F86" s="29"/>
      <c r="G86" s="53">
        <f>G65+G76+G84</f>
        <v>131.5</v>
      </c>
      <c r="H86" s="29"/>
      <c r="I86" s="53">
        <f t="shared" ref="I86:N86" si="15">I65+I76+I84</f>
        <v>6421488.8841880346</v>
      </c>
      <c r="J86" s="53">
        <f t="shared" si="15"/>
        <v>1567181.5458119656</v>
      </c>
      <c r="K86" s="53">
        <f t="shared" si="15"/>
        <v>0</v>
      </c>
      <c r="L86" s="53">
        <f t="shared" si="15"/>
        <v>0</v>
      </c>
      <c r="M86" s="53">
        <f t="shared" si="15"/>
        <v>1516892.75</v>
      </c>
      <c r="N86" s="57">
        <f t="shared" si="15"/>
        <v>9505563.1799999997</v>
      </c>
      <c r="O86" s="75"/>
    </row>
    <row r="87" spans="2:15" s="27" customFormat="1" ht="7.5" customHeight="1" x14ac:dyDescent="0.2">
      <c r="B87" s="109"/>
      <c r="D87" s="35"/>
      <c r="E87" s="35"/>
      <c r="F87" s="36"/>
      <c r="G87" s="36"/>
      <c r="H87" s="29"/>
      <c r="I87" s="29"/>
      <c r="J87" s="29"/>
      <c r="K87" s="29"/>
      <c r="L87" s="29"/>
      <c r="M87" s="29"/>
      <c r="N87" s="29"/>
      <c r="O87" s="63"/>
    </row>
    <row r="88" spans="2:15" s="27" customFormat="1" ht="12" customHeight="1" x14ac:dyDescent="0.2">
      <c r="B88" s="109"/>
      <c r="D88" s="30"/>
      <c r="E88" s="22" t="s">
        <v>58</v>
      </c>
      <c r="F88" s="17"/>
      <c r="G88" s="17"/>
      <c r="H88" s="29"/>
      <c r="I88" s="29"/>
      <c r="J88" s="29"/>
      <c r="K88" s="29"/>
      <c r="L88" s="29"/>
      <c r="M88" s="29"/>
      <c r="N88" s="29"/>
      <c r="O88" s="63"/>
    </row>
    <row r="89" spans="2:15" s="27" customFormat="1" ht="12" customHeight="1" x14ac:dyDescent="0.2">
      <c r="B89" s="109"/>
      <c r="E89" s="89" t="s">
        <v>59</v>
      </c>
      <c r="F89" s="17"/>
      <c r="G89" s="17"/>
      <c r="H89" s="29"/>
      <c r="I89" s="169">
        <f>SUMIF(Details!C:C,'2018-2019 Budget'!E89,Details!K:K)</f>
        <v>536813.83852469188</v>
      </c>
      <c r="J89" s="169">
        <f>SUMIF(Details!$C:$C,'2018-2019 Budget'!$E89,Details!L:L)</f>
        <v>131010.85378251152</v>
      </c>
      <c r="K89" s="169">
        <f>SUMIF(Details!$C:$C,'2018-2019 Budget'!$E89,Details!M:M)</f>
        <v>0</v>
      </c>
      <c r="L89" s="169">
        <f>SUMIF(Details!$C:$C,'2018-2019 Budget'!$E89,Details!N:N)</f>
        <v>0</v>
      </c>
      <c r="M89" s="169">
        <f>SUMIF(Details!$C:$C,'2018-2019 Budget'!$E89,Details!O:O)</f>
        <v>126806.88769279688</v>
      </c>
      <c r="N89" s="56">
        <f>SUM(I89:M89)</f>
        <v>794631.58000000031</v>
      </c>
      <c r="O89" s="75"/>
    </row>
    <row r="90" spans="2:15" s="27" customFormat="1" ht="12" customHeight="1" x14ac:dyDescent="0.2">
      <c r="B90" s="109"/>
      <c r="E90" s="54" t="s">
        <v>60</v>
      </c>
      <c r="F90" s="17"/>
      <c r="G90" s="17"/>
      <c r="H90" s="29"/>
      <c r="I90" s="169">
        <f>SUMIF(Details!C:C,'2018-2019 Budget'!E90,Details!K:K)</f>
        <v>1197277.7021378635</v>
      </c>
      <c r="J90" s="169">
        <f>SUMIF(Details!$C:$C,'2018-2019 Budget'!$E90,Details!L:L)</f>
        <v>292198.82706997328</v>
      </c>
      <c r="K90" s="169">
        <f>SUMIF(Details!$C:$C,'2018-2019 Budget'!$E90,Details!M:M)</f>
        <v>0</v>
      </c>
      <c r="L90" s="169">
        <f>SUMIF(Details!$C:$C,'2018-2019 Budget'!$E90,Details!N:N)</f>
        <v>0</v>
      </c>
      <c r="M90" s="169">
        <f>SUMIF(Details!$C:$C,'2018-2019 Budget'!$E90,Details!O:O)</f>
        <v>282822.55079216359</v>
      </c>
      <c r="N90" s="56">
        <f>SUM(I90:M90)</f>
        <v>1772299.0800000005</v>
      </c>
      <c r="O90" s="75"/>
    </row>
    <row r="91" spans="2:15" s="27" customFormat="1" ht="12" customHeight="1" x14ac:dyDescent="0.2">
      <c r="B91" s="109"/>
      <c r="E91" s="89" t="s">
        <v>61</v>
      </c>
      <c r="F91" s="17"/>
      <c r="G91" s="17"/>
      <c r="H91" s="29"/>
      <c r="I91" s="169">
        <f>SUMIF(Details!C:C,'2018-2019 Budget'!E91,Details!K:K)</f>
        <v>0</v>
      </c>
      <c r="J91" s="169">
        <f>SUMIF(Details!$C:$C,'2018-2019 Budget'!$E91,Details!L:L)</f>
        <v>0</v>
      </c>
      <c r="K91" s="169">
        <f>SUMIF(Details!$C:$C,'2018-2019 Budget'!$E91,Details!M:M)</f>
        <v>0</v>
      </c>
      <c r="L91" s="169">
        <f>SUMIF(Details!$C:$C,'2018-2019 Budget'!$E91,Details!N:N)</f>
        <v>0</v>
      </c>
      <c r="M91" s="169">
        <f>SUMIF(Details!$C:$C,'2018-2019 Budget'!$E91,Details!O:O)</f>
        <v>0</v>
      </c>
      <c r="N91" s="56">
        <f>SUM(I91:M91)</f>
        <v>0</v>
      </c>
      <c r="O91" s="75"/>
    </row>
    <row r="92" spans="2:15" s="27" customFormat="1" ht="12" customHeight="1" x14ac:dyDescent="0.2">
      <c r="B92" s="109"/>
      <c r="D92" s="30"/>
      <c r="E92" s="129" t="s">
        <v>62</v>
      </c>
      <c r="F92" s="130"/>
      <c r="G92" s="130"/>
      <c r="H92" s="83"/>
      <c r="I92" s="53">
        <f t="shared" ref="I92:N92" si="16">SUM(I88:I91)</f>
        <v>1734091.5406625555</v>
      </c>
      <c r="J92" s="53">
        <f t="shared" si="16"/>
        <v>423209.68085248477</v>
      </c>
      <c r="K92" s="53">
        <f t="shared" si="16"/>
        <v>0</v>
      </c>
      <c r="L92" s="53">
        <f t="shared" si="16"/>
        <v>0</v>
      </c>
      <c r="M92" s="53">
        <f t="shared" si="16"/>
        <v>409629.43848496047</v>
      </c>
      <c r="N92" s="57">
        <f t="shared" si="16"/>
        <v>2566930.6600000011</v>
      </c>
      <c r="O92" s="75"/>
    </row>
    <row r="93" spans="2:15" s="27" customFormat="1" ht="7.5" customHeight="1" x14ac:dyDescent="0.2">
      <c r="B93" s="109"/>
      <c r="D93" s="35"/>
      <c r="E93" s="35"/>
      <c r="F93" s="36"/>
      <c r="G93" s="36"/>
      <c r="H93" s="29"/>
      <c r="I93" s="29"/>
      <c r="J93" s="29"/>
      <c r="K93" s="29"/>
      <c r="L93" s="29"/>
      <c r="M93" s="29"/>
      <c r="N93" s="29"/>
      <c r="O93" s="63"/>
    </row>
    <row r="94" spans="2:15" s="27" customFormat="1" ht="12" customHeight="1" x14ac:dyDescent="0.2">
      <c r="B94" s="109"/>
      <c r="D94" s="30"/>
      <c r="E94" s="38" t="s">
        <v>63</v>
      </c>
      <c r="F94" s="29"/>
      <c r="G94" s="39"/>
      <c r="H94" s="29"/>
      <c r="I94" s="53">
        <f t="shared" ref="I94:N94" si="17">I86+I92</f>
        <v>8155580.4248505905</v>
      </c>
      <c r="J94" s="53">
        <f t="shared" si="17"/>
        <v>1990391.2266644505</v>
      </c>
      <c r="K94" s="53">
        <f t="shared" si="17"/>
        <v>0</v>
      </c>
      <c r="L94" s="53">
        <f t="shared" si="17"/>
        <v>0</v>
      </c>
      <c r="M94" s="53">
        <f t="shared" si="17"/>
        <v>1926522.1884849605</v>
      </c>
      <c r="N94" s="57">
        <f t="shared" si="17"/>
        <v>12072493.84</v>
      </c>
      <c r="O94" s="75"/>
    </row>
    <row r="95" spans="2:15" s="27" customFormat="1" ht="7.5" customHeight="1" x14ac:dyDescent="0.2">
      <c r="B95" s="109"/>
      <c r="E95" s="35"/>
      <c r="F95" s="36"/>
      <c r="G95" s="36"/>
      <c r="H95" s="29"/>
      <c r="I95" s="29"/>
      <c r="J95" s="29"/>
      <c r="K95" s="29"/>
      <c r="L95" s="29"/>
      <c r="M95" s="29"/>
      <c r="N95" s="29"/>
      <c r="O95" s="63"/>
    </row>
    <row r="96" spans="2:15" s="27" customFormat="1" ht="12" customHeight="1" x14ac:dyDescent="0.2">
      <c r="B96" s="109"/>
      <c r="E96" s="22" t="s">
        <v>64</v>
      </c>
      <c r="F96" s="36"/>
      <c r="G96" s="36"/>
      <c r="H96" s="29"/>
      <c r="I96" s="29"/>
      <c r="J96" s="29"/>
      <c r="K96" s="29"/>
      <c r="L96" s="29"/>
      <c r="M96" s="29"/>
      <c r="N96" s="29"/>
      <c r="O96" s="63"/>
    </row>
    <row r="97" spans="2:15" s="27" customFormat="1" ht="12" customHeight="1" x14ac:dyDescent="0.2">
      <c r="B97" s="109"/>
      <c r="E97" s="87" t="s">
        <v>65</v>
      </c>
      <c r="F97" s="36"/>
      <c r="G97" s="36"/>
      <c r="H97" s="29"/>
      <c r="I97" s="169">
        <f>SUMIF(Details!C:C,'2018-2019 Budget'!E97,Details!K:K)</f>
        <v>16213.214335871982</v>
      </c>
      <c r="J97" s="169">
        <f>SUMIF(Details!$C:$C,'2018-2019 Budget'!$E97,Details!L:L)</f>
        <v>3956.8783445282606</v>
      </c>
      <c r="K97" s="169">
        <f>SUMIF(Details!$C:$C,'2018-2019 Budget'!$E97,Details!M:M)</f>
        <v>0</v>
      </c>
      <c r="L97" s="169">
        <f>SUMIF(Details!$C:$C,'2018-2019 Budget'!$E97,Details!N:N)</f>
        <v>0</v>
      </c>
      <c r="M97" s="169">
        <f>SUMIF(Details!$C:$C,'2018-2019 Budget'!$E97,Details!O:O)</f>
        <v>3829.9073195997635</v>
      </c>
      <c r="N97" s="56">
        <f t="shared" ref="N97:N105" si="18">SUM(I97:M97)</f>
        <v>24000.000000000007</v>
      </c>
      <c r="O97" s="75"/>
    </row>
    <row r="98" spans="2:15" s="27" customFormat="1" ht="12" customHeight="1" x14ac:dyDescent="0.2">
      <c r="B98" s="109"/>
      <c r="E98" s="89" t="s">
        <v>66</v>
      </c>
      <c r="F98" s="36"/>
      <c r="G98" s="36"/>
      <c r="H98" s="29"/>
      <c r="I98" s="169">
        <f>SUMIF(Details!C:C,'2018-2019 Budget'!E98,Details!K:K)</f>
        <v>14862.113141215985</v>
      </c>
      <c r="J98" s="169">
        <f>SUMIF(Details!$C:$C,'2018-2019 Budget'!$E98,Details!L:L)</f>
        <v>3627.1384824842389</v>
      </c>
      <c r="K98" s="169">
        <f>SUMIF(Details!$C:$C,'2018-2019 Budget'!$E98,Details!M:M)</f>
        <v>0</v>
      </c>
      <c r="L98" s="169">
        <f>SUMIF(Details!$C:$C,'2018-2019 Budget'!$E98,Details!N:N)</f>
        <v>0</v>
      </c>
      <c r="M98" s="169">
        <f>SUMIF(Details!$C:$C,'2018-2019 Budget'!$E98,Details!O:O)</f>
        <v>3510.7483762997831</v>
      </c>
      <c r="N98" s="56">
        <f t="shared" si="18"/>
        <v>22000.000000000007</v>
      </c>
      <c r="O98" s="75"/>
    </row>
    <row r="99" spans="2:15" s="27" customFormat="1" ht="12" customHeight="1" x14ac:dyDescent="0.2">
      <c r="B99" s="109"/>
      <c r="E99" s="89" t="s">
        <v>67</v>
      </c>
      <c r="F99" s="36"/>
      <c r="G99" s="36"/>
      <c r="H99" s="29"/>
      <c r="I99" s="169">
        <f>SUMIF(Details!C:C,'2018-2019 Budget'!E99,Details!K:K)</f>
        <v>0</v>
      </c>
      <c r="J99" s="169">
        <f>SUMIF(Details!$C:$C,'2018-2019 Budget'!$E99,Details!L:L)</f>
        <v>0</v>
      </c>
      <c r="K99" s="169">
        <f>SUMIF(Details!$C:$C,'2018-2019 Budget'!$E99,Details!M:M)</f>
        <v>0</v>
      </c>
      <c r="L99" s="169">
        <f>SUMIF(Details!$C:$C,'2018-2019 Budget'!$E99,Details!N:N)</f>
        <v>0</v>
      </c>
      <c r="M99" s="169">
        <f>SUMIF(Details!$C:$C,'2018-2019 Budget'!$E99,Details!O:O)</f>
        <v>0</v>
      </c>
      <c r="N99" s="56">
        <f t="shared" si="18"/>
        <v>0</v>
      </c>
      <c r="O99" s="75"/>
    </row>
    <row r="100" spans="2:15" s="27" customFormat="1" ht="12" customHeight="1" x14ac:dyDescent="0.2">
      <c r="B100" s="109"/>
      <c r="E100" s="89" t="s">
        <v>68</v>
      </c>
      <c r="F100" s="36"/>
      <c r="G100" s="36"/>
      <c r="H100" s="29"/>
      <c r="I100" s="169">
        <f>SUMIF(Details!C:C,'2018-2019 Budget'!E100,Details!K:K)</f>
        <v>0</v>
      </c>
      <c r="J100" s="169">
        <f>SUMIF(Details!$C:$C,'2018-2019 Budget'!$E100,Details!L:L)</f>
        <v>0</v>
      </c>
      <c r="K100" s="169">
        <f>SUMIF(Details!$C:$C,'2018-2019 Budget'!$E100,Details!M:M)</f>
        <v>0</v>
      </c>
      <c r="L100" s="169">
        <f>SUMIF(Details!$C:$C,'2018-2019 Budget'!$E100,Details!N:N)</f>
        <v>0</v>
      </c>
      <c r="M100" s="169">
        <f>SUMIF(Details!$C:$C,'2018-2019 Budget'!$E100,Details!O:O)</f>
        <v>0</v>
      </c>
      <c r="N100" s="56">
        <f t="shared" si="18"/>
        <v>0</v>
      </c>
      <c r="O100" s="75"/>
    </row>
    <row r="101" spans="2:15" s="27" customFormat="1" ht="12" customHeight="1" x14ac:dyDescent="0.2">
      <c r="B101" s="109"/>
      <c r="E101" s="89" t="s">
        <v>69</v>
      </c>
      <c r="F101" s="36"/>
      <c r="G101" s="36"/>
      <c r="H101" s="29"/>
      <c r="I101" s="169">
        <f>SUMIF(Details!C:C,'2018-2019 Budget'!E101,Details!K:K)</f>
        <v>0</v>
      </c>
      <c r="J101" s="169">
        <f>SUMIF(Details!$C:$C,'2018-2019 Budget'!$E101,Details!L:L)</f>
        <v>0</v>
      </c>
      <c r="K101" s="169">
        <f>SUMIF(Details!$C:$C,'2018-2019 Budget'!$E101,Details!M:M)</f>
        <v>0</v>
      </c>
      <c r="L101" s="169">
        <f>SUMIF(Details!$C:$C,'2018-2019 Budget'!$E101,Details!N:N)</f>
        <v>0</v>
      </c>
      <c r="M101" s="169">
        <f>SUMIF(Details!$C:$C,'2018-2019 Budget'!$E101,Details!O:O)</f>
        <v>0</v>
      </c>
      <c r="N101" s="56">
        <f t="shared" si="18"/>
        <v>0</v>
      </c>
      <c r="O101" s="75"/>
    </row>
    <row r="102" spans="2:15" s="27" customFormat="1" ht="12" customHeight="1" x14ac:dyDescent="0.2">
      <c r="B102" s="109"/>
      <c r="E102" s="89" t="s">
        <v>70</v>
      </c>
      <c r="F102" s="36"/>
      <c r="G102" s="36"/>
      <c r="H102" s="29"/>
      <c r="I102" s="169">
        <f>SUMIF(Details!C:C,'2018-2019 Budget'!E102,Details!K:K)</f>
        <v>17023.875052665582</v>
      </c>
      <c r="J102" s="169">
        <f>SUMIF(Details!$C:$C,'2018-2019 Budget'!$E102,Details!L:L)</f>
        <v>4154.722261754674</v>
      </c>
      <c r="K102" s="169">
        <f>SUMIF(Details!$C:$C,'2018-2019 Budget'!$E102,Details!M:M)</f>
        <v>0</v>
      </c>
      <c r="L102" s="169">
        <f>SUMIF(Details!$C:$C,'2018-2019 Budget'!$E102,Details!N:N)</f>
        <v>0</v>
      </c>
      <c r="M102" s="169">
        <f>SUMIF(Details!$C:$C,'2018-2019 Budget'!$E102,Details!O:O)</f>
        <v>4021.4026855797515</v>
      </c>
      <c r="N102" s="56">
        <f t="shared" si="18"/>
        <v>25200.000000000011</v>
      </c>
      <c r="O102" s="75"/>
    </row>
    <row r="103" spans="2:15" s="27" customFormat="1" ht="12" customHeight="1" x14ac:dyDescent="0.2">
      <c r="B103" s="109"/>
      <c r="E103" s="89" t="s">
        <v>71</v>
      </c>
      <c r="F103" s="36"/>
      <c r="G103" s="36"/>
      <c r="H103" s="29"/>
      <c r="I103" s="169">
        <f>SUMIF(Details!C:C,'2018-2019 Budget'!E103,Details!K:K)</f>
        <v>0</v>
      </c>
      <c r="J103" s="169">
        <f>SUMIF(Details!$C:$C,'2018-2019 Budget'!$E103,Details!L:L)</f>
        <v>0</v>
      </c>
      <c r="K103" s="169">
        <f>SUMIF(Details!$C:$C,'2018-2019 Budget'!$E103,Details!M:M)</f>
        <v>0</v>
      </c>
      <c r="L103" s="169">
        <f>SUMIF(Details!$C:$C,'2018-2019 Budget'!$E103,Details!N:N)</f>
        <v>0</v>
      </c>
      <c r="M103" s="169">
        <f>SUMIF(Details!$C:$C,'2018-2019 Budget'!$E103,Details!O:O)</f>
        <v>0</v>
      </c>
      <c r="N103" s="56">
        <f t="shared" si="18"/>
        <v>0</v>
      </c>
      <c r="O103" s="75"/>
    </row>
    <row r="104" spans="2:15" s="27" customFormat="1" ht="12" customHeight="1" x14ac:dyDescent="0.2">
      <c r="B104" s="109"/>
      <c r="E104" s="89" t="s">
        <v>72</v>
      </c>
      <c r="F104" s="36"/>
      <c r="G104" s="36"/>
      <c r="H104" s="29"/>
      <c r="I104" s="169">
        <f>SUMIF(Details!C:C,'2018-2019 Budget'!E104,Details!K:K)</f>
        <v>0</v>
      </c>
      <c r="J104" s="169">
        <f>SUMIF(Details!$C:$C,'2018-2019 Budget'!$E104,Details!L:L)</f>
        <v>0</v>
      </c>
      <c r="K104" s="169">
        <f>SUMIF(Details!$C:$C,'2018-2019 Budget'!$E104,Details!M:M)</f>
        <v>0</v>
      </c>
      <c r="L104" s="169">
        <f>SUMIF(Details!$C:$C,'2018-2019 Budget'!$E104,Details!N:N)</f>
        <v>0</v>
      </c>
      <c r="M104" s="169">
        <f>SUMIF(Details!$C:$C,'2018-2019 Budget'!$E104,Details!O:O)</f>
        <v>0</v>
      </c>
      <c r="N104" s="56">
        <f t="shared" si="18"/>
        <v>0</v>
      </c>
      <c r="O104" s="75"/>
    </row>
    <row r="105" spans="2:15" s="27" customFormat="1" ht="12" customHeight="1" x14ac:dyDescent="0.2">
      <c r="B105" s="109"/>
      <c r="E105" s="87" t="s">
        <v>73</v>
      </c>
      <c r="F105" s="36"/>
      <c r="G105" s="36"/>
      <c r="H105" s="29"/>
      <c r="I105" s="169">
        <f>SUMIF(Details!C:C,'2018-2019 Budget'!E105,Details!K:K)</f>
        <v>247704.71976360778</v>
      </c>
      <c r="J105" s="169">
        <f>SUMIF(Details!$C:$C,'2018-2019 Budget'!$E105,Details!L:L)</f>
        <v>60493.49296301588</v>
      </c>
      <c r="K105" s="169">
        <f>SUMIF(Details!$C:$C,'2018-2019 Budget'!$E105,Details!M:M)</f>
        <v>0</v>
      </c>
      <c r="L105" s="169">
        <f>SUMIF(Details!$C:$C,'2018-2019 Budget'!$E105,Details!N:N)</f>
        <v>0</v>
      </c>
      <c r="M105" s="169">
        <f>SUMIF(Details!$C:$C,'2018-2019 Budget'!$E105,Details!O:O)</f>
        <v>57001.787273376474</v>
      </c>
      <c r="N105" s="56">
        <f t="shared" si="18"/>
        <v>365200.00000000012</v>
      </c>
      <c r="O105" s="75"/>
    </row>
    <row r="106" spans="2:15" s="27" customFormat="1" ht="12" customHeight="1" x14ac:dyDescent="0.2">
      <c r="B106" s="109"/>
      <c r="E106" s="129" t="s">
        <v>74</v>
      </c>
      <c r="F106" s="131"/>
      <c r="G106" s="131"/>
      <c r="H106" s="85"/>
      <c r="I106" s="53">
        <f t="shared" ref="I106:N106" si="19">SUM(I97:I105)</f>
        <v>295803.92229336133</v>
      </c>
      <c r="J106" s="53">
        <f t="shared" si="19"/>
        <v>72232.232051783052</v>
      </c>
      <c r="K106" s="53">
        <f t="shared" si="19"/>
        <v>0</v>
      </c>
      <c r="L106" s="53">
        <f t="shared" si="19"/>
        <v>0</v>
      </c>
      <c r="M106" s="53">
        <f t="shared" si="19"/>
        <v>68363.845654855773</v>
      </c>
      <c r="N106" s="57">
        <f t="shared" si="19"/>
        <v>436400.00000000012</v>
      </c>
      <c r="O106" s="75"/>
    </row>
    <row r="107" spans="2:15" s="27" customFormat="1" ht="7.5" customHeight="1" x14ac:dyDescent="0.2">
      <c r="B107" s="109"/>
      <c r="D107" s="35"/>
      <c r="E107" s="35"/>
      <c r="F107" s="36"/>
      <c r="G107" s="36"/>
      <c r="H107" s="29"/>
      <c r="I107" s="29"/>
      <c r="J107" s="29"/>
      <c r="K107" s="29"/>
      <c r="L107" s="29"/>
      <c r="M107" s="29"/>
      <c r="N107" s="29"/>
      <c r="O107" s="63"/>
    </row>
    <row r="108" spans="2:15" s="27" customFormat="1" ht="12" customHeight="1" x14ac:dyDescent="0.2">
      <c r="B108" s="109"/>
      <c r="D108" s="35"/>
      <c r="E108" s="22" t="s">
        <v>75</v>
      </c>
      <c r="F108" s="36"/>
      <c r="G108" s="36"/>
      <c r="H108" s="29"/>
      <c r="I108" s="29"/>
      <c r="J108" s="29"/>
      <c r="K108" s="29"/>
      <c r="L108" s="29"/>
      <c r="M108" s="29"/>
      <c r="N108" s="29"/>
      <c r="O108" s="63"/>
    </row>
    <row r="109" spans="2:15" s="27" customFormat="1" ht="12" customHeight="1" x14ac:dyDescent="0.2">
      <c r="B109" s="109"/>
      <c r="E109" s="89" t="s">
        <v>76</v>
      </c>
      <c r="F109" s="17"/>
      <c r="G109" s="17"/>
      <c r="H109" s="29"/>
      <c r="I109" s="169">
        <f>SUMIF(Details!C:C,'2018-2019 Budget'!E109,Details!K:K)</f>
        <v>675.5505973279993</v>
      </c>
      <c r="J109" s="169">
        <f>SUMIF(Details!$C:$C,'2018-2019 Budget'!$E109,Details!L:L)</f>
        <v>164.86993102201086</v>
      </c>
      <c r="K109" s="169">
        <f>SUMIF(Details!$C:$C,'2018-2019 Budget'!$E109,Details!M:M)</f>
        <v>0</v>
      </c>
      <c r="L109" s="169">
        <f>SUMIF(Details!$C:$C,'2018-2019 Budget'!$E109,Details!N:N)</f>
        <v>0</v>
      </c>
      <c r="M109" s="169">
        <f>SUMIF(Details!$C:$C,'2018-2019 Budget'!$E109,Details!O:O)</f>
        <v>159.57947164999015</v>
      </c>
      <c r="N109" s="56">
        <f t="shared" ref="N109:N128" si="20">SUM(I109:M109)</f>
        <v>1000.0000000000003</v>
      </c>
      <c r="O109" s="75"/>
    </row>
    <row r="110" spans="2:15" s="27" customFormat="1" ht="12" customHeight="1" x14ac:dyDescent="0.2">
      <c r="B110" s="109"/>
      <c r="E110" s="89" t="s">
        <v>77</v>
      </c>
      <c r="F110" s="17"/>
      <c r="G110" s="17"/>
      <c r="H110" s="29"/>
      <c r="I110" s="169">
        <f>SUMIF(Details!C:C,'2018-2019 Budget'!E110,Details!K:K)</f>
        <v>253522.58852258851</v>
      </c>
      <c r="J110" s="169">
        <f>SUMIF(Details!$C:$C,'2018-2019 Budget'!$E110,Details!L:L)</f>
        <v>63477.411477411471</v>
      </c>
      <c r="K110" s="169">
        <f>SUMIF(Details!$C:$C,'2018-2019 Budget'!$E110,Details!M:M)</f>
        <v>0</v>
      </c>
      <c r="L110" s="169">
        <f>SUMIF(Details!$C:$C,'2018-2019 Budget'!$E110,Details!N:N)</f>
        <v>0</v>
      </c>
      <c r="M110" s="169">
        <f>SUMIF(Details!$C:$C,'2018-2019 Budget'!$E110,Details!O:O)</f>
        <v>0</v>
      </c>
      <c r="N110" s="56">
        <f t="shared" si="20"/>
        <v>317000</v>
      </c>
      <c r="O110" s="75"/>
    </row>
    <row r="111" spans="2:15" s="27" customFormat="1" ht="12" customHeight="1" x14ac:dyDescent="0.2">
      <c r="B111" s="109"/>
      <c r="E111" s="89" t="s">
        <v>78</v>
      </c>
      <c r="F111" s="17"/>
      <c r="G111" s="17"/>
      <c r="H111" s="29"/>
      <c r="I111" s="169">
        <f>SUMIF(Details!C:C,'2018-2019 Budget'!E111,Details!K:K)</f>
        <v>0</v>
      </c>
      <c r="J111" s="169">
        <f>SUMIF(Details!$C:$C,'2018-2019 Budget'!$E111,Details!L:L)</f>
        <v>0</v>
      </c>
      <c r="K111" s="169">
        <f>SUMIF(Details!$C:$C,'2018-2019 Budget'!$E111,Details!M:M)</f>
        <v>0</v>
      </c>
      <c r="L111" s="169">
        <f>SUMIF(Details!$C:$C,'2018-2019 Budget'!$E111,Details!N:N)</f>
        <v>0</v>
      </c>
      <c r="M111" s="169">
        <f>SUMIF(Details!$C:$C,'2018-2019 Budget'!$E111,Details!O:O)</f>
        <v>0</v>
      </c>
      <c r="N111" s="56">
        <f t="shared" si="20"/>
        <v>0</v>
      </c>
      <c r="O111" s="75"/>
    </row>
    <row r="112" spans="2:15" s="27" customFormat="1" ht="12" customHeight="1" x14ac:dyDescent="0.2">
      <c r="B112" s="109"/>
      <c r="E112" s="89" t="s">
        <v>79</v>
      </c>
      <c r="F112" s="17"/>
      <c r="G112" s="17"/>
      <c r="H112" s="29"/>
      <c r="I112" s="169">
        <f>SUMIF(Details!C:C,'2018-2019 Budget'!E112,Details!K:K)</f>
        <v>55020</v>
      </c>
      <c r="J112" s="169">
        <f>SUMIF(Details!$C:$C,'2018-2019 Budget'!$E112,Details!L:L)</f>
        <v>13776.000000000002</v>
      </c>
      <c r="K112" s="169">
        <f>SUMIF(Details!$C:$C,'2018-2019 Budget'!$E112,Details!M:M)</f>
        <v>0</v>
      </c>
      <c r="L112" s="169">
        <f>SUMIF(Details!$C:$C,'2018-2019 Budget'!$E112,Details!N:N)</f>
        <v>0</v>
      </c>
      <c r="M112" s="169">
        <f>SUMIF(Details!$C:$C,'2018-2019 Budget'!$E112,Details!O:O)</f>
        <v>0</v>
      </c>
      <c r="N112" s="56">
        <f t="shared" si="20"/>
        <v>68796</v>
      </c>
      <c r="O112" s="75"/>
    </row>
    <row r="113" spans="2:15" s="27" customFormat="1" ht="12" customHeight="1" x14ac:dyDescent="0.2">
      <c r="B113" s="109"/>
      <c r="E113" s="87" t="s">
        <v>80</v>
      </c>
      <c r="F113" s="17"/>
      <c r="G113" s="17"/>
      <c r="H113" s="29"/>
      <c r="I113" s="169">
        <f>SUMIF(Details!C:C,'2018-2019 Budget'!E113,Details!K:K)</f>
        <v>0</v>
      </c>
      <c r="J113" s="169">
        <f>SUMIF(Details!$C:$C,'2018-2019 Budget'!$E113,Details!L:L)</f>
        <v>0</v>
      </c>
      <c r="K113" s="169">
        <f>SUMIF(Details!$C:$C,'2018-2019 Budget'!$E113,Details!M:M)</f>
        <v>0</v>
      </c>
      <c r="L113" s="169">
        <f>SUMIF(Details!$C:$C,'2018-2019 Budget'!$E113,Details!N:N)</f>
        <v>0</v>
      </c>
      <c r="M113" s="169">
        <f>SUMIF(Details!$C:$C,'2018-2019 Budget'!$E113,Details!O:O)</f>
        <v>0</v>
      </c>
      <c r="N113" s="56">
        <f t="shared" si="20"/>
        <v>0</v>
      </c>
      <c r="O113" s="75"/>
    </row>
    <row r="114" spans="2:15" s="27" customFormat="1" ht="12" customHeight="1" x14ac:dyDescent="0.2">
      <c r="B114" s="109"/>
      <c r="E114" s="87" t="s">
        <v>81</v>
      </c>
      <c r="F114" s="17"/>
      <c r="G114" s="17"/>
      <c r="H114" s="29"/>
      <c r="I114" s="169">
        <f>SUMIF(Details!C:C,'2018-2019 Budget'!E114,Details!K:K)</f>
        <v>0</v>
      </c>
      <c r="J114" s="169">
        <f>SUMIF(Details!$C:$C,'2018-2019 Budget'!$E114,Details!L:L)</f>
        <v>0</v>
      </c>
      <c r="K114" s="169">
        <f>SUMIF(Details!$C:$C,'2018-2019 Budget'!$E114,Details!M:M)</f>
        <v>0</v>
      </c>
      <c r="L114" s="169">
        <f>SUMIF(Details!$C:$C,'2018-2019 Budget'!$E114,Details!N:N)</f>
        <v>0</v>
      </c>
      <c r="M114" s="169">
        <f>SUMIF(Details!$C:$C,'2018-2019 Budget'!$E114,Details!O:O)</f>
        <v>0</v>
      </c>
      <c r="N114" s="56">
        <f t="shared" si="20"/>
        <v>0</v>
      </c>
      <c r="O114" s="75"/>
    </row>
    <row r="115" spans="2:15" s="27" customFormat="1" ht="12" customHeight="1" x14ac:dyDescent="0.2">
      <c r="B115" s="109"/>
      <c r="E115" s="89" t="s">
        <v>82</v>
      </c>
      <c r="F115" s="17"/>
      <c r="G115" s="17"/>
      <c r="H115" s="29"/>
      <c r="I115" s="169">
        <f>SUMIF(Details!C:C,'2018-2019 Budget'!E115,Details!K:K)</f>
        <v>16213.214335871982</v>
      </c>
      <c r="J115" s="169">
        <f>SUMIF(Details!$C:$C,'2018-2019 Budget'!$E115,Details!L:L)</f>
        <v>3956.8783445282606</v>
      </c>
      <c r="K115" s="169">
        <f>SUMIF(Details!$C:$C,'2018-2019 Budget'!$E115,Details!M:M)</f>
        <v>0</v>
      </c>
      <c r="L115" s="169">
        <f>SUMIF(Details!$C:$C,'2018-2019 Budget'!$E115,Details!N:N)</f>
        <v>0</v>
      </c>
      <c r="M115" s="169">
        <f>SUMIF(Details!$C:$C,'2018-2019 Budget'!$E115,Details!O:O)</f>
        <v>3829.9073195997635</v>
      </c>
      <c r="N115" s="56">
        <f t="shared" si="20"/>
        <v>24000.000000000007</v>
      </c>
      <c r="O115" s="75"/>
    </row>
    <row r="116" spans="2:15" s="27" customFormat="1" ht="12" customHeight="1" x14ac:dyDescent="0.2">
      <c r="B116" s="109"/>
      <c r="E116" s="87" t="s">
        <v>83</v>
      </c>
      <c r="F116" s="17"/>
      <c r="G116" s="17"/>
      <c r="H116" s="29"/>
      <c r="I116" s="169">
        <f>SUMIF(Details!C:C,'2018-2019 Budget'!E116,Details!K:K)</f>
        <v>82957.613351878303</v>
      </c>
      <c r="J116" s="169">
        <f>SUMIF(Details!$C:$C,'2018-2019 Budget'!$E116,Details!L:L)</f>
        <v>20246.027529502931</v>
      </c>
      <c r="K116" s="169">
        <f>SUMIF(Details!$C:$C,'2018-2019 Budget'!$E116,Details!M:M)</f>
        <v>0</v>
      </c>
      <c r="L116" s="169">
        <f>SUMIF(Details!$C:$C,'2018-2019 Budget'!$E116,Details!N:N)</f>
        <v>0</v>
      </c>
      <c r="M116" s="169">
        <f>SUMIF(Details!$C:$C,'2018-2019 Budget'!$E116,Details!O:O)</f>
        <v>19596.359118618788</v>
      </c>
      <c r="N116" s="56">
        <f t="shared" si="20"/>
        <v>122800.00000000001</v>
      </c>
      <c r="O116" s="75"/>
    </row>
    <row r="117" spans="2:15" s="27" customFormat="1" ht="12" customHeight="1" x14ac:dyDescent="0.2">
      <c r="B117" s="109"/>
      <c r="E117" s="89" t="s">
        <v>84</v>
      </c>
      <c r="F117" s="17"/>
      <c r="G117" s="17"/>
      <c r="H117" s="29"/>
      <c r="I117" s="169">
        <f>SUMIF(Details!C:C,'2018-2019 Budget'!E117,Details!K:K)</f>
        <v>26391.941391941393</v>
      </c>
      <c r="J117" s="169">
        <f>SUMIF(Details!$C:$C,'2018-2019 Budget'!$E117,Details!L:L)</f>
        <v>6608.0586080586081</v>
      </c>
      <c r="K117" s="169">
        <f>SUMIF(Details!$C:$C,'2018-2019 Budget'!$E117,Details!M:M)</f>
        <v>0</v>
      </c>
      <c r="L117" s="169">
        <f>SUMIF(Details!$C:$C,'2018-2019 Budget'!$E117,Details!N:N)</f>
        <v>0</v>
      </c>
      <c r="M117" s="169">
        <f>SUMIF(Details!$C:$C,'2018-2019 Budget'!$E117,Details!O:O)</f>
        <v>0</v>
      </c>
      <c r="N117" s="56">
        <f t="shared" si="20"/>
        <v>33000</v>
      </c>
      <c r="O117" s="75"/>
    </row>
    <row r="118" spans="2:15" s="27" customFormat="1" ht="12" customHeight="1" x14ac:dyDescent="0.2">
      <c r="B118" s="109"/>
      <c r="E118" s="89" t="s">
        <v>85</v>
      </c>
      <c r="F118" s="17"/>
      <c r="G118" s="17"/>
      <c r="H118" s="29"/>
      <c r="I118" s="169">
        <f>SUMIF(Details!C:C,'2018-2019 Budget'!E118,Details!K:K)</f>
        <v>47985.347985347988</v>
      </c>
      <c r="J118" s="169">
        <f>SUMIF(Details!$C:$C,'2018-2019 Budget'!$E118,Details!L:L)</f>
        <v>12014.652014652016</v>
      </c>
      <c r="K118" s="169">
        <f>SUMIF(Details!$C:$C,'2018-2019 Budget'!$E118,Details!M:M)</f>
        <v>0</v>
      </c>
      <c r="L118" s="169">
        <f>SUMIF(Details!$C:$C,'2018-2019 Budget'!$E118,Details!N:N)</f>
        <v>0</v>
      </c>
      <c r="M118" s="169">
        <f>SUMIF(Details!$C:$C,'2018-2019 Budget'!$E118,Details!O:O)</f>
        <v>0</v>
      </c>
      <c r="N118" s="56">
        <f t="shared" si="20"/>
        <v>60000</v>
      </c>
      <c r="O118" s="75"/>
    </row>
    <row r="119" spans="2:15" s="27" customFormat="1" ht="12" customHeight="1" x14ac:dyDescent="0.2">
      <c r="B119" s="109"/>
      <c r="E119" s="89" t="s">
        <v>86</v>
      </c>
      <c r="F119" s="17"/>
      <c r="G119" s="17"/>
      <c r="H119" s="29"/>
      <c r="I119" s="169">
        <f>SUMIF(Details!C:C,'2018-2019 Budget'!E119,Details!K:K)</f>
        <v>43235.238228991955</v>
      </c>
      <c r="J119" s="169">
        <f>SUMIF(Details!$C:$C,'2018-2019 Budget'!$E119,Details!L:L)</f>
        <v>10551.675585408695</v>
      </c>
      <c r="K119" s="169">
        <f>SUMIF(Details!$C:$C,'2018-2019 Budget'!$E119,Details!M:M)</f>
        <v>0</v>
      </c>
      <c r="L119" s="169">
        <f>SUMIF(Details!$C:$C,'2018-2019 Budget'!$E119,Details!N:N)</f>
        <v>0</v>
      </c>
      <c r="M119" s="169">
        <f>SUMIF(Details!$C:$C,'2018-2019 Budget'!$E119,Details!O:O)</f>
        <v>10213.08618559937</v>
      </c>
      <c r="N119" s="56">
        <f t="shared" si="20"/>
        <v>64000.000000000022</v>
      </c>
      <c r="O119" s="75"/>
    </row>
    <row r="120" spans="2:15" s="27" customFormat="1" ht="12" customHeight="1" x14ac:dyDescent="0.2">
      <c r="B120" s="109"/>
      <c r="E120" s="89" t="s">
        <v>87</v>
      </c>
      <c r="F120" s="17"/>
      <c r="G120" s="17"/>
      <c r="H120" s="29"/>
      <c r="I120" s="169">
        <f>SUMIF(Details!C:C,'2018-2019 Budget'!E120,Details!K:K)</f>
        <v>47185.592185592192</v>
      </c>
      <c r="J120" s="169">
        <f>SUMIF(Details!$C:$C,'2018-2019 Budget'!$E120,Details!L:L)</f>
        <v>11814.407814407816</v>
      </c>
      <c r="K120" s="169">
        <f>SUMIF(Details!$C:$C,'2018-2019 Budget'!$E120,Details!M:M)</f>
        <v>0</v>
      </c>
      <c r="L120" s="169">
        <f>SUMIF(Details!$C:$C,'2018-2019 Budget'!$E120,Details!N:N)</f>
        <v>0</v>
      </c>
      <c r="M120" s="169">
        <f>SUMIF(Details!$C:$C,'2018-2019 Budget'!$E120,Details!O:O)</f>
        <v>0</v>
      </c>
      <c r="N120" s="56">
        <f t="shared" si="20"/>
        <v>59000.000000000007</v>
      </c>
      <c r="O120" s="75"/>
    </row>
    <row r="121" spans="2:15" s="27" customFormat="1" ht="12" customHeight="1" x14ac:dyDescent="0.2">
      <c r="B121" s="109"/>
      <c r="E121" s="87" t="s">
        <v>88</v>
      </c>
      <c r="F121" s="17"/>
      <c r="G121" s="17"/>
      <c r="H121" s="29"/>
      <c r="I121" s="169">
        <f>SUMIF(Details!C:C,'2018-2019 Budget'!E121,Details!K:K)</f>
        <v>109590.62818903293</v>
      </c>
      <c r="J121" s="169">
        <f>SUMIF(Details!$C:$C,'2018-2019 Budget'!$E121,Details!L:L)</f>
        <v>26745.886069303655</v>
      </c>
      <c r="K121" s="169">
        <f>SUMIF(Details!$C:$C,'2018-2019 Budget'!$E121,Details!M:M)</f>
        <v>0</v>
      </c>
      <c r="L121" s="169">
        <f>SUMIF(Details!$C:$C,'2018-2019 Budget'!$E121,Details!N:N)</f>
        <v>0</v>
      </c>
      <c r="M121" s="169">
        <f>SUMIF(Details!$C:$C,'2018-2019 Budget'!$E121,Details!O:O)</f>
        <v>25887.645741663462</v>
      </c>
      <c r="N121" s="56">
        <f t="shared" si="20"/>
        <v>162224.16000000003</v>
      </c>
      <c r="O121" s="75"/>
    </row>
    <row r="122" spans="2:15" s="27" customFormat="1" ht="12" customHeight="1" x14ac:dyDescent="0.2">
      <c r="B122" s="109"/>
      <c r="E122" s="87" t="s">
        <v>89</v>
      </c>
      <c r="F122" s="17"/>
      <c r="G122" s="17"/>
      <c r="H122" s="29"/>
      <c r="I122" s="169">
        <f>SUMIF(Details!C:C,'2018-2019 Budget'!E122,Details!K:K)</f>
        <v>65528.407940815923</v>
      </c>
      <c r="J122" s="169">
        <f>SUMIF(Details!$C:$C,'2018-2019 Budget'!$E122,Details!L:L)</f>
        <v>15992.383309135053</v>
      </c>
      <c r="K122" s="169">
        <f>SUMIF(Details!$C:$C,'2018-2019 Budget'!$E122,Details!M:M)</f>
        <v>0</v>
      </c>
      <c r="L122" s="169">
        <f>SUMIF(Details!$C:$C,'2018-2019 Budget'!$E122,Details!N:N)</f>
        <v>0</v>
      </c>
      <c r="M122" s="169">
        <f>SUMIF(Details!$C:$C,'2018-2019 Budget'!$E122,Details!O:O)</f>
        <v>15479.208750049043</v>
      </c>
      <c r="N122" s="56">
        <f t="shared" si="20"/>
        <v>97000.000000000015</v>
      </c>
      <c r="O122" s="75"/>
    </row>
    <row r="123" spans="2:15" s="27" customFormat="1" ht="12" customHeight="1" x14ac:dyDescent="0.2">
      <c r="B123" s="109"/>
      <c r="E123" s="89" t="s">
        <v>90</v>
      </c>
      <c r="F123" s="17"/>
      <c r="G123" s="17"/>
      <c r="H123" s="29"/>
      <c r="I123" s="169">
        <f>SUMIF(Details!C:C,'2018-2019 Budget'!E123,Details!K:K)</f>
        <v>16888.764933199982</v>
      </c>
      <c r="J123" s="169">
        <f>SUMIF(Details!$C:$C,'2018-2019 Budget'!$E123,Details!L:L)</f>
        <v>4121.7482755502715</v>
      </c>
      <c r="K123" s="169">
        <f>SUMIF(Details!$C:$C,'2018-2019 Budget'!$E123,Details!M:M)</f>
        <v>0</v>
      </c>
      <c r="L123" s="169">
        <f>SUMIF(Details!$C:$C,'2018-2019 Budget'!$E123,Details!N:N)</f>
        <v>0</v>
      </c>
      <c r="M123" s="169">
        <f>SUMIF(Details!$C:$C,'2018-2019 Budget'!$E123,Details!O:O)</f>
        <v>3989.4867912497534</v>
      </c>
      <c r="N123" s="56">
        <f t="shared" si="20"/>
        <v>25000.000000000007</v>
      </c>
      <c r="O123" s="75"/>
    </row>
    <row r="124" spans="2:15" s="27" customFormat="1" ht="12" customHeight="1" x14ac:dyDescent="0.2">
      <c r="B124" s="109"/>
      <c r="E124" s="89" t="s">
        <v>91</v>
      </c>
      <c r="F124" s="17"/>
      <c r="G124" s="17"/>
      <c r="H124" s="29"/>
      <c r="I124" s="169">
        <f>SUMIF(Details!C:C,'2018-2019 Budget'!E124,Details!K:K)</f>
        <v>11996.336996336997</v>
      </c>
      <c r="J124" s="169">
        <f>SUMIF(Details!$C:$C,'2018-2019 Budget'!$E124,Details!L:L)</f>
        <v>3003.663003663004</v>
      </c>
      <c r="K124" s="169">
        <f>SUMIF(Details!$C:$C,'2018-2019 Budget'!$E124,Details!M:M)</f>
        <v>0</v>
      </c>
      <c r="L124" s="169">
        <f>SUMIF(Details!$C:$C,'2018-2019 Budget'!$E124,Details!N:N)</f>
        <v>0</v>
      </c>
      <c r="M124" s="169">
        <f>SUMIF(Details!$C:$C,'2018-2019 Budget'!$E124,Details!O:O)</f>
        <v>0</v>
      </c>
      <c r="N124" s="56">
        <f t="shared" si="20"/>
        <v>15000</v>
      </c>
      <c r="O124" s="75"/>
    </row>
    <row r="125" spans="2:15" s="27" customFormat="1" ht="12" customHeight="1" x14ac:dyDescent="0.2">
      <c r="B125" s="109"/>
      <c r="E125" s="89" t="s">
        <v>92</v>
      </c>
      <c r="F125" s="17"/>
      <c r="G125" s="17"/>
      <c r="H125" s="29"/>
      <c r="I125" s="169">
        <f>SUMIF(Details!C:C,'2018-2019 Budget'!E125,Details!K:K)</f>
        <v>7997.5579975579976</v>
      </c>
      <c r="J125" s="169">
        <f>SUMIF(Details!$C:$C,'2018-2019 Budget'!$E125,Details!L:L)</f>
        <v>2002.4420024420026</v>
      </c>
      <c r="K125" s="169">
        <f>SUMIF(Details!$C:$C,'2018-2019 Budget'!$E125,Details!M:M)</f>
        <v>0</v>
      </c>
      <c r="L125" s="169">
        <f>SUMIF(Details!$C:$C,'2018-2019 Budget'!$E125,Details!N:N)</f>
        <v>0</v>
      </c>
      <c r="M125" s="169">
        <f>SUMIF(Details!$C:$C,'2018-2019 Budget'!$E125,Details!O:O)</f>
        <v>0</v>
      </c>
      <c r="N125" s="56">
        <f t="shared" si="20"/>
        <v>10000</v>
      </c>
      <c r="O125" s="75"/>
    </row>
    <row r="126" spans="2:15" s="27" customFormat="1" ht="12" customHeight="1" x14ac:dyDescent="0.2">
      <c r="B126" s="109"/>
      <c r="E126" s="89" t="s">
        <v>93</v>
      </c>
      <c r="F126" s="17"/>
      <c r="G126" s="17"/>
      <c r="H126" s="29"/>
      <c r="I126" s="169">
        <f>SUMIF(Details!C:C,'2018-2019 Budget'!E126,Details!K:K)</f>
        <v>0</v>
      </c>
      <c r="J126" s="169">
        <f>SUMIF(Details!$C:$C,'2018-2019 Budget'!$E126,Details!L:L)</f>
        <v>0</v>
      </c>
      <c r="K126" s="169">
        <f>SUMIF(Details!$C:$C,'2018-2019 Budget'!$E126,Details!M:M)</f>
        <v>0</v>
      </c>
      <c r="L126" s="169">
        <f>SUMIF(Details!$C:$C,'2018-2019 Budget'!$E126,Details!N:N)</f>
        <v>0</v>
      </c>
      <c r="M126" s="169">
        <f>SUMIF(Details!$C:$C,'2018-2019 Budget'!$E126,Details!O:O)</f>
        <v>0</v>
      </c>
      <c r="N126" s="56">
        <f t="shared" si="20"/>
        <v>0</v>
      </c>
      <c r="O126" s="75"/>
    </row>
    <row r="127" spans="2:15" s="27" customFormat="1" ht="12" customHeight="1" x14ac:dyDescent="0.2">
      <c r="B127" s="109"/>
      <c r="E127" s="89" t="s">
        <v>25</v>
      </c>
      <c r="F127" s="17"/>
      <c r="G127" s="17"/>
      <c r="H127" s="29"/>
      <c r="I127" s="169">
        <f>SUMIF(Details!C:C,'2018-2019 Budget'!E127,Details!K:K)</f>
        <v>1688.8764933199982</v>
      </c>
      <c r="J127" s="169">
        <f>SUMIF(Details!$C:$C,'2018-2019 Budget'!$E127,Details!L:L)</f>
        <v>412.17482755502715</v>
      </c>
      <c r="K127" s="169">
        <f>SUMIF(Details!$C:$C,'2018-2019 Budget'!$E127,Details!M:M)</f>
        <v>0</v>
      </c>
      <c r="L127" s="169">
        <f>SUMIF(Details!$C:$C,'2018-2019 Budget'!$E127,Details!N:N)</f>
        <v>0</v>
      </c>
      <c r="M127" s="169">
        <f>SUMIF(Details!$C:$C,'2018-2019 Budget'!$E127,Details!O:O)</f>
        <v>398.94867912497534</v>
      </c>
      <c r="N127" s="56">
        <f t="shared" si="20"/>
        <v>2500.0000000000009</v>
      </c>
      <c r="O127" s="75"/>
    </row>
    <row r="128" spans="2:15" s="27" customFormat="1" ht="12" customHeight="1" x14ac:dyDescent="0.2">
      <c r="B128" s="109"/>
      <c r="E128" s="153" t="s">
        <v>256</v>
      </c>
      <c r="F128" s="17"/>
      <c r="G128" s="17"/>
      <c r="H128" s="29"/>
      <c r="I128" s="169">
        <f>SUMIF(Details!C:C,'2018-2019 Budget'!E128,Details!K:K)</f>
        <v>23644.270906479975</v>
      </c>
      <c r="J128" s="169">
        <f>SUMIF(Details!$C:$C,'2018-2019 Budget'!$E128,Details!L:L)</f>
        <v>5770.4475857703801</v>
      </c>
      <c r="K128" s="169">
        <f>SUMIF(Details!$C:$C,'2018-2019 Budget'!$E128,Details!M:M)</f>
        <v>0</v>
      </c>
      <c r="L128" s="169">
        <f>SUMIF(Details!$C:$C,'2018-2019 Budget'!$E128,Details!N:N)</f>
        <v>0</v>
      </c>
      <c r="M128" s="169">
        <f>SUMIF(Details!$C:$C,'2018-2019 Budget'!$E128,Details!O:O)</f>
        <v>5585.2815077496552</v>
      </c>
      <c r="N128" s="56">
        <f t="shared" si="20"/>
        <v>35000.000000000007</v>
      </c>
      <c r="O128" s="75"/>
    </row>
    <row r="129" spans="2:15" s="27" customFormat="1" ht="12" customHeight="1" x14ac:dyDescent="0.2">
      <c r="B129" s="109"/>
      <c r="D129" s="30"/>
      <c r="E129" s="129" t="s">
        <v>94</v>
      </c>
      <c r="F129" s="130"/>
      <c r="G129" s="130"/>
      <c r="H129" s="85"/>
      <c r="I129" s="53">
        <f t="shared" ref="I129:N129" si="21">SUM(I109:I128)</f>
        <v>810521.93005628407</v>
      </c>
      <c r="J129" s="53">
        <f t="shared" si="21"/>
        <v>200658.72637841117</v>
      </c>
      <c r="K129" s="53">
        <f t="shared" si="21"/>
        <v>0</v>
      </c>
      <c r="L129" s="53">
        <f t="shared" si="21"/>
        <v>0</v>
      </c>
      <c r="M129" s="53">
        <f t="shared" si="21"/>
        <v>85139.503565304811</v>
      </c>
      <c r="N129" s="57">
        <f t="shared" si="21"/>
        <v>1096320.1600000001</v>
      </c>
      <c r="O129" s="75"/>
    </row>
    <row r="130" spans="2:15" s="27" customFormat="1" ht="7.5" customHeight="1" x14ac:dyDescent="0.2">
      <c r="B130" s="109"/>
      <c r="D130" s="35"/>
      <c r="E130" s="35"/>
      <c r="F130" s="36"/>
      <c r="G130" s="36"/>
      <c r="H130" s="29"/>
      <c r="I130" s="29"/>
      <c r="J130" s="29"/>
      <c r="K130" s="29"/>
      <c r="L130" s="29"/>
      <c r="M130" s="29"/>
      <c r="N130" s="29"/>
      <c r="O130" s="63"/>
    </row>
    <row r="131" spans="2:15" s="27" customFormat="1" ht="12" customHeight="1" x14ac:dyDescent="0.2">
      <c r="B131" s="109"/>
      <c r="D131" s="30"/>
      <c r="E131" s="22" t="s">
        <v>95</v>
      </c>
      <c r="F131" s="41"/>
      <c r="G131" s="41"/>
      <c r="H131" s="29"/>
      <c r="I131" s="29"/>
      <c r="J131" s="29"/>
      <c r="K131" s="29"/>
      <c r="L131" s="29"/>
      <c r="M131" s="29"/>
      <c r="N131" s="29"/>
      <c r="O131" s="63"/>
    </row>
    <row r="132" spans="2:15" s="27" customFormat="1" ht="12" customHeight="1" x14ac:dyDescent="0.2">
      <c r="B132" s="109"/>
      <c r="C132" s="30"/>
      <c r="E132" s="89" t="s">
        <v>96</v>
      </c>
      <c r="F132" s="41"/>
      <c r="G132" s="41"/>
      <c r="H132" s="29"/>
      <c r="I132" s="169">
        <f>SUMIF(Details!C:C,'2018-2019 Budget'!E132,Details!K:K)</f>
        <v>56543.584996353544</v>
      </c>
      <c r="J132" s="169">
        <f>SUMIF(Details!$C:$C,'2018-2019 Budget'!$E132,Details!L:L)</f>
        <v>13799.613226542309</v>
      </c>
      <c r="K132" s="169">
        <f>SUMIF(Details!$C:$C,'2018-2019 Budget'!$E132,Details!M:M)</f>
        <v>0</v>
      </c>
      <c r="L132" s="169">
        <f>SUMIF(Details!$C:$C,'2018-2019 Budget'!$E132,Details!N:N)</f>
        <v>0</v>
      </c>
      <c r="M132" s="169">
        <f>SUMIF(Details!$C:$C,'2018-2019 Budget'!$E132,Details!O:O)</f>
        <v>13356.801777104174</v>
      </c>
      <c r="N132" s="56">
        <f t="shared" ref="N132:N138" si="22">SUM(I132:M132)</f>
        <v>83700.000000000029</v>
      </c>
      <c r="O132" s="175"/>
    </row>
    <row r="133" spans="2:15" s="27" customFormat="1" ht="12" customHeight="1" x14ac:dyDescent="0.2">
      <c r="B133" s="109"/>
      <c r="C133" s="30"/>
      <c r="E133" s="89" t="s">
        <v>97</v>
      </c>
      <c r="F133" s="41"/>
      <c r="G133" s="41"/>
      <c r="H133" s="29"/>
      <c r="I133" s="169">
        <f>SUMIF(Details!C:C,'2018-2019 Budget'!E133,Details!K:K)</f>
        <v>8106.6071679359911</v>
      </c>
      <c r="J133" s="169">
        <f>SUMIF(Details!$C:$C,'2018-2019 Budget'!$E133,Details!L:L)</f>
        <v>1978.4391722641303</v>
      </c>
      <c r="K133" s="169">
        <f>SUMIF(Details!$C:$C,'2018-2019 Budget'!$E133,Details!M:M)</f>
        <v>0</v>
      </c>
      <c r="L133" s="169">
        <f>SUMIF(Details!$C:$C,'2018-2019 Budget'!$E133,Details!N:N)</f>
        <v>0</v>
      </c>
      <c r="M133" s="169">
        <f>SUMIF(Details!$C:$C,'2018-2019 Budget'!$E133,Details!O:O)</f>
        <v>1914.9536597998817</v>
      </c>
      <c r="N133" s="56">
        <f t="shared" si="22"/>
        <v>12000.000000000004</v>
      </c>
      <c r="O133" s="175"/>
    </row>
    <row r="134" spans="2:15" s="27" customFormat="1" ht="12" customHeight="1" x14ac:dyDescent="0.2">
      <c r="B134" s="109"/>
      <c r="C134" s="30"/>
      <c r="E134" s="87" t="s">
        <v>98</v>
      </c>
      <c r="F134" s="41"/>
      <c r="G134" s="41"/>
      <c r="H134" s="29"/>
      <c r="I134" s="169">
        <f>SUMIF(Details!C:C,'2018-2019 Budget'!E134,Details!K:K)</f>
        <v>775290.23861869972</v>
      </c>
      <c r="J134" s="169">
        <f>SUMIF(Details!$C:$C,'2018-2019 Budget'!$E134,Details!L:L)</f>
        <v>189211.65737796261</v>
      </c>
      <c r="K134" s="169">
        <f>SUMIF(Details!$C:$C,'2018-2019 Budget'!$E134,Details!M:M)</f>
        <v>0</v>
      </c>
      <c r="L134" s="169">
        <f>SUMIF(Details!$C:$C,'2018-2019 Budget'!$E134,Details!N:N)</f>
        <v>0</v>
      </c>
      <c r="M134" s="169">
        <f>SUMIF(Details!$C:$C,'2018-2019 Budget'!$E134,Details!O:O)</f>
        <v>183140.104003338</v>
      </c>
      <c r="N134" s="56">
        <f t="shared" si="22"/>
        <v>1147642.0000000002</v>
      </c>
      <c r="O134" s="175"/>
    </row>
    <row r="135" spans="2:15" s="27" customFormat="1" ht="12" customHeight="1" x14ac:dyDescent="0.2">
      <c r="B135" s="109"/>
      <c r="C135" s="30"/>
      <c r="E135" s="87" t="s">
        <v>99</v>
      </c>
      <c r="F135" s="41"/>
      <c r="G135" s="41"/>
      <c r="H135" s="29"/>
      <c r="I135" s="169">
        <f>SUMIF(Details!C:C,'2018-2019 Budget'!E135,Details!K:K)</f>
        <v>77688.318692719913</v>
      </c>
      <c r="J135" s="169">
        <f>SUMIF(Details!$C:$C,'2018-2019 Budget'!$E135,Details!L:L)</f>
        <v>18960.042067531249</v>
      </c>
      <c r="K135" s="169">
        <f>SUMIF(Details!$C:$C,'2018-2019 Budget'!$E135,Details!M:M)</f>
        <v>0</v>
      </c>
      <c r="L135" s="169">
        <f>SUMIF(Details!$C:$C,'2018-2019 Budget'!$E135,Details!N:N)</f>
        <v>0</v>
      </c>
      <c r="M135" s="169">
        <f>SUMIF(Details!$C:$C,'2018-2019 Budget'!$E135,Details!O:O)</f>
        <v>18351.639239748867</v>
      </c>
      <c r="N135" s="56">
        <f t="shared" si="22"/>
        <v>115000.00000000003</v>
      </c>
      <c r="O135" s="175"/>
    </row>
    <row r="136" spans="2:15" s="27" customFormat="1" ht="12" customHeight="1" x14ac:dyDescent="0.2">
      <c r="B136" s="109"/>
      <c r="C136" s="30"/>
      <c r="E136" s="165" t="s">
        <v>247</v>
      </c>
      <c r="F136" s="41"/>
      <c r="G136" s="41"/>
      <c r="H136" s="29"/>
      <c r="I136" s="169">
        <f>SUMIF(Details!C:C,'2018-2019 Budget'!E136,Details!K:K)</f>
        <v>13511.011946559986</v>
      </c>
      <c r="J136" s="169">
        <f>SUMIF(Details!$C:$C,'2018-2019 Budget'!$E136,Details!L:L)</f>
        <v>3297.3986204402172</v>
      </c>
      <c r="K136" s="169">
        <f>SUMIF(Details!$C:$C,'2018-2019 Budget'!$E136,Details!M:M)</f>
        <v>0</v>
      </c>
      <c r="L136" s="169">
        <f>SUMIF(Details!$C:$C,'2018-2019 Budget'!$E136,Details!N:N)</f>
        <v>0</v>
      </c>
      <c r="M136" s="169">
        <f>SUMIF(Details!$C:$C,'2018-2019 Budget'!$E136,Details!O:O)</f>
        <v>3191.5894329998027</v>
      </c>
      <c r="N136" s="56">
        <f t="shared" si="22"/>
        <v>20000.000000000007</v>
      </c>
      <c r="O136" s="75"/>
    </row>
    <row r="137" spans="2:15" s="27" customFormat="1" ht="12" customHeight="1" x14ac:dyDescent="0.2">
      <c r="B137" s="109"/>
      <c r="C137" s="30"/>
      <c r="E137" s="89" t="s">
        <v>313</v>
      </c>
      <c r="F137" s="41"/>
      <c r="G137" s="41"/>
      <c r="H137" s="29"/>
      <c r="I137" s="169">
        <f>SUMIF(Details!C:C,'2018-2019 Budget'!E137,Details!K:K)</f>
        <v>59786.227863527936</v>
      </c>
      <c r="J137" s="169">
        <f>SUMIF(Details!$C:$C,'2018-2019 Budget'!$E137,Details!L:L)</f>
        <v>14590.988895447961</v>
      </c>
      <c r="K137" s="169">
        <f>SUMIF(Details!$C:$C,'2018-2019 Budget'!$E137,Details!M:M)</f>
        <v>0</v>
      </c>
      <c r="L137" s="169">
        <f>SUMIF(Details!$C:$C,'2018-2019 Budget'!$E137,Details!N:N)</f>
        <v>0</v>
      </c>
      <c r="M137" s="169">
        <f>SUMIF(Details!$C:$C,'2018-2019 Budget'!$E137,Details!O:O)</f>
        <v>14122.783241024128</v>
      </c>
      <c r="N137" s="56">
        <f t="shared" si="22"/>
        <v>88500.000000000029</v>
      </c>
      <c r="O137" s="75"/>
    </row>
    <row r="138" spans="2:15" s="27" customFormat="1" ht="12" customHeight="1" x14ac:dyDescent="0.2">
      <c r="B138" s="109"/>
      <c r="C138" s="30"/>
      <c r="E138" s="87" t="s">
        <v>100</v>
      </c>
      <c r="F138" s="41"/>
      <c r="G138" s="41"/>
      <c r="H138" s="29"/>
      <c r="I138" s="169">
        <f>SUMIF(Details!C:C,'2018-2019 Budget'!E138,Details!K:K)</f>
        <v>91874.881236607893</v>
      </c>
      <c r="J138" s="169">
        <f>SUMIF(Details!$C:$C,'2018-2019 Budget'!$E138,Details!L:L)</f>
        <v>22422.310618993477</v>
      </c>
      <c r="K138" s="169">
        <f>SUMIF(Details!$C:$C,'2018-2019 Budget'!$E138,Details!M:M)</f>
        <v>0</v>
      </c>
      <c r="L138" s="169">
        <f>SUMIF(Details!$C:$C,'2018-2019 Budget'!$E138,Details!N:N)</f>
        <v>0</v>
      </c>
      <c r="M138" s="169">
        <f>SUMIF(Details!$C:$C,'2018-2019 Budget'!$E138,Details!O:O)</f>
        <v>21702.808144398659</v>
      </c>
      <c r="N138" s="56">
        <f t="shared" si="22"/>
        <v>136000.00000000003</v>
      </c>
      <c r="O138" s="75"/>
    </row>
    <row r="139" spans="2:15" s="27" customFormat="1" ht="12" customHeight="1" x14ac:dyDescent="0.2">
      <c r="B139" s="109"/>
      <c r="D139" s="30"/>
      <c r="E139" s="127" t="s">
        <v>101</v>
      </c>
      <c r="F139" s="128"/>
      <c r="G139" s="128"/>
      <c r="H139" s="85"/>
      <c r="I139" s="53">
        <f t="shared" ref="I139:N139" si="23">SUM(I132:I138)</f>
        <v>1082800.870522405</v>
      </c>
      <c r="J139" s="53">
        <f t="shared" si="23"/>
        <v>264260.44997918198</v>
      </c>
      <c r="K139" s="53">
        <f t="shared" si="23"/>
        <v>0</v>
      </c>
      <c r="L139" s="53">
        <f t="shared" si="23"/>
        <v>0</v>
      </c>
      <c r="M139" s="53">
        <f t="shared" si="23"/>
        <v>255780.67949841352</v>
      </c>
      <c r="N139" s="57">
        <f t="shared" si="23"/>
        <v>1602842.0000000002</v>
      </c>
      <c r="O139" s="75"/>
    </row>
    <row r="140" spans="2:15" s="27" customFormat="1" ht="7.5" customHeight="1" x14ac:dyDescent="0.2">
      <c r="B140" s="109"/>
      <c r="C140" s="22"/>
      <c r="D140" s="30"/>
      <c r="E140" s="40"/>
      <c r="F140" s="41"/>
      <c r="G140" s="41"/>
      <c r="H140" s="29"/>
      <c r="I140" s="29"/>
      <c r="J140" s="29"/>
      <c r="K140" s="29"/>
      <c r="L140" s="29"/>
      <c r="M140" s="29"/>
      <c r="N140" s="29"/>
      <c r="O140" s="63"/>
    </row>
    <row r="141" spans="2:15" s="27" customFormat="1" ht="12" customHeight="1" x14ac:dyDescent="0.2">
      <c r="B141" s="109"/>
      <c r="D141" s="30"/>
      <c r="E141" s="22" t="s">
        <v>102</v>
      </c>
      <c r="F141" s="41"/>
      <c r="G141" s="41"/>
      <c r="H141" s="29"/>
      <c r="I141" s="169">
        <f>SUMIF(Details!C:C,'2018-2019 Budget'!E141,Details!K:K)</f>
        <v>303997.76879759965</v>
      </c>
      <c r="J141" s="169">
        <f>SUMIF(Details!$C:$C,'2018-2019 Budget'!$E141,Details!L:L)</f>
        <v>74191.468959904887</v>
      </c>
      <c r="K141" s="169">
        <f>SUMIF(Details!$C:$C,'2018-2019 Budget'!$E141,Details!M:M)</f>
        <v>0</v>
      </c>
      <c r="L141" s="169">
        <f>SUMIF(Details!$C:$C,'2018-2019 Budget'!$E141,Details!N:N)</f>
        <v>0</v>
      </c>
      <c r="M141" s="169">
        <f>SUMIF(Details!$C:$C,'2018-2019 Budget'!$E141,Details!O:O)</f>
        <v>71810.762242495563</v>
      </c>
      <c r="N141" s="56">
        <f>SUM(I141:M141)</f>
        <v>450000.00000000012</v>
      </c>
      <c r="O141" s="75"/>
    </row>
    <row r="142" spans="2:15" s="27" customFormat="1" ht="12" customHeight="1" x14ac:dyDescent="0.2">
      <c r="B142" s="109"/>
      <c r="D142" s="30"/>
      <c r="E142" s="22" t="s">
        <v>103</v>
      </c>
      <c r="F142" s="41"/>
      <c r="G142" s="41"/>
      <c r="H142" s="29"/>
      <c r="I142" s="169">
        <f>SUMIF(Details!C:C,'2018-2019 Budget'!E142,Details!K:K)</f>
        <v>0</v>
      </c>
      <c r="J142" s="169">
        <f>SUMIF(Details!$C:$C,'2018-2019 Budget'!$E142,Details!L:L)</f>
        <v>0</v>
      </c>
      <c r="K142" s="169">
        <f>SUMIF(Details!$C:$C,'2018-2019 Budget'!$E142,Details!M:M)</f>
        <v>0</v>
      </c>
      <c r="L142" s="169">
        <f>SUMIF(Details!$C:$C,'2018-2019 Budget'!$E142,Details!N:N)</f>
        <v>0</v>
      </c>
      <c r="M142" s="169">
        <f>SUMIF(Details!$C:$C,'2018-2019 Budget'!$E142,Details!O:O)</f>
        <v>0</v>
      </c>
      <c r="N142" s="56">
        <f>SUM(I142:M142)</f>
        <v>0</v>
      </c>
      <c r="O142" s="75"/>
    </row>
    <row r="143" spans="2:15" s="27" customFormat="1" ht="7.5" customHeight="1" thickBot="1" x14ac:dyDescent="0.25">
      <c r="B143" s="109"/>
      <c r="C143" s="22"/>
      <c r="D143" s="30"/>
      <c r="E143" s="40"/>
      <c r="F143" s="41"/>
      <c r="G143" s="41"/>
      <c r="H143" s="29"/>
      <c r="I143" s="29"/>
      <c r="J143" s="29"/>
      <c r="K143" s="29"/>
      <c r="L143" s="29"/>
      <c r="M143" s="29"/>
      <c r="N143" s="29"/>
      <c r="O143" s="63"/>
    </row>
    <row r="144" spans="2:15" s="27" customFormat="1" ht="12" customHeight="1" thickTop="1" x14ac:dyDescent="0.2">
      <c r="B144" s="107"/>
      <c r="C144" s="26"/>
      <c r="D144" s="26"/>
      <c r="E144" s="120" t="s">
        <v>104</v>
      </c>
      <c r="F144" s="121"/>
      <c r="G144" s="121"/>
      <c r="H144" s="122"/>
      <c r="I144" s="123">
        <f t="shared" ref="I144:N144" si="24">I94+I106+I129+I139+I141+I142</f>
        <v>10648704.916520238</v>
      </c>
      <c r="J144" s="123">
        <f t="shared" si="24"/>
        <v>2601734.1040337314</v>
      </c>
      <c r="K144" s="123">
        <f t="shared" si="24"/>
        <v>0</v>
      </c>
      <c r="L144" s="123">
        <f t="shared" si="24"/>
        <v>0</v>
      </c>
      <c r="M144" s="123">
        <f t="shared" si="24"/>
        <v>2407616.9794460302</v>
      </c>
      <c r="N144" s="124">
        <f t="shared" si="24"/>
        <v>15658056</v>
      </c>
      <c r="O144" s="75"/>
    </row>
    <row r="145" spans="2:15" s="27" customFormat="1" ht="8.25" customHeight="1" x14ac:dyDescent="0.2">
      <c r="B145" s="108"/>
      <c r="C145" s="26"/>
      <c r="D145" s="26"/>
      <c r="F145" s="28"/>
      <c r="G145" s="28"/>
      <c r="H145" s="91"/>
      <c r="I145" s="91"/>
      <c r="J145" s="91"/>
      <c r="K145" s="91"/>
      <c r="L145" s="91"/>
      <c r="M145" s="91"/>
      <c r="N145" s="91"/>
      <c r="O145" s="63"/>
    </row>
    <row r="146" spans="2:15" s="27" customFormat="1" ht="12" customHeight="1" x14ac:dyDescent="0.2">
      <c r="B146" s="107"/>
      <c r="C146" s="26"/>
      <c r="D146" s="26"/>
      <c r="E146" s="26" t="s">
        <v>105</v>
      </c>
      <c r="F146" s="28"/>
      <c r="G146" s="28"/>
      <c r="H146" s="91"/>
      <c r="I146" s="125">
        <f t="shared" ref="I146:N146" si="25">I54-I144</f>
        <v>1032012.2056318652</v>
      </c>
      <c r="J146" s="125">
        <f t="shared" si="25"/>
        <v>-319318.07631732523</v>
      </c>
      <c r="K146" s="125">
        <f t="shared" si="25"/>
        <v>0</v>
      </c>
      <c r="L146" s="125">
        <f t="shared" si="25"/>
        <v>0</v>
      </c>
      <c r="M146" s="125">
        <f t="shared" si="25"/>
        <v>-512694.12931454112</v>
      </c>
      <c r="N146" s="126">
        <f t="shared" si="25"/>
        <v>199999.99999999814</v>
      </c>
      <c r="O146" s="75"/>
    </row>
    <row r="147" spans="2:15" s="27" customFormat="1" ht="7.5" customHeight="1" x14ac:dyDescent="0.2">
      <c r="B147" s="108"/>
      <c r="C147" s="26"/>
      <c r="D147" s="26"/>
      <c r="F147" s="28"/>
      <c r="G147" s="28"/>
      <c r="H147" s="91"/>
      <c r="I147" s="91"/>
      <c r="J147" s="91"/>
      <c r="K147" s="91"/>
      <c r="L147" s="91"/>
      <c r="M147" s="91"/>
      <c r="N147" s="91"/>
      <c r="O147" s="63"/>
    </row>
    <row r="148" spans="2:15" s="27" customFormat="1" ht="7.5" customHeight="1" x14ac:dyDescent="0.2">
      <c r="B148" s="105"/>
      <c r="C148" s="16"/>
      <c r="D148" s="16"/>
      <c r="F148" s="28"/>
      <c r="G148" s="28"/>
      <c r="H148" s="42"/>
      <c r="I148" s="42"/>
      <c r="J148" s="42"/>
      <c r="K148" s="42"/>
      <c r="L148" s="42"/>
      <c r="M148" s="42"/>
      <c r="N148" s="42"/>
      <c r="O148" s="63"/>
    </row>
    <row r="149" spans="2:15" ht="27" customHeight="1" x14ac:dyDescent="0.2">
      <c r="B149" s="109"/>
      <c r="C149" s="26"/>
      <c r="D149" s="26"/>
      <c r="E149" s="26" t="s">
        <v>106</v>
      </c>
      <c r="I149" s="94" t="s">
        <v>113</v>
      </c>
      <c r="J149" s="94" t="s">
        <v>114</v>
      </c>
      <c r="K149" s="94" t="s">
        <v>125</v>
      </c>
      <c r="N149" s="43"/>
      <c r="O149" s="63"/>
    </row>
    <row r="150" spans="2:15" ht="12" customHeight="1" x14ac:dyDescent="0.2">
      <c r="B150" s="109"/>
      <c r="E150" s="103" t="str">
        <f>E19</f>
        <v xml:space="preserve">District of Location </v>
      </c>
      <c r="I150" s="93">
        <v>819</v>
      </c>
      <c r="J150" s="93">
        <v>164</v>
      </c>
      <c r="K150" s="95">
        <f>SUM(I150:J150)-164</f>
        <v>819</v>
      </c>
      <c r="N150" s="29"/>
      <c r="O150" s="75"/>
    </row>
    <row r="151" spans="2:15" ht="12" customHeight="1" x14ac:dyDescent="0.2">
      <c r="B151" s="109"/>
      <c r="E151" s="103" t="str">
        <f>E20</f>
        <v>School District 2 (Enter Name)</v>
      </c>
      <c r="I151" s="93"/>
      <c r="J151" s="93"/>
      <c r="K151" s="95">
        <f>SUM(I151:J151)</f>
        <v>0</v>
      </c>
      <c r="N151" s="29"/>
      <c r="O151" s="75"/>
    </row>
    <row r="152" spans="2:15" ht="12" customHeight="1" x14ac:dyDescent="0.2">
      <c r="B152" s="109"/>
      <c r="E152" s="103" t="str">
        <f>E21</f>
        <v>School District 3 (Enter Name)</v>
      </c>
      <c r="I152" s="93"/>
      <c r="J152" s="93"/>
      <c r="K152" s="95">
        <f>SUM(I152:J152)</f>
        <v>0</v>
      </c>
      <c r="N152" s="29"/>
      <c r="O152" s="75"/>
    </row>
    <row r="153" spans="2:15" ht="12" customHeight="1" x14ac:dyDescent="0.2">
      <c r="B153" s="109"/>
      <c r="E153" s="103" t="str">
        <f>E22</f>
        <v>School District 4 (Enter Name)</v>
      </c>
      <c r="I153" s="93"/>
      <c r="J153" s="93"/>
      <c r="K153" s="95">
        <f>SUM(I153:J153)</f>
        <v>0</v>
      </c>
      <c r="N153" s="29"/>
      <c r="O153" s="75"/>
    </row>
    <row r="154" spans="2:15" ht="11.25" customHeight="1" x14ac:dyDescent="0.2">
      <c r="B154" s="109"/>
      <c r="E154" s="103" t="str">
        <f>E23</f>
        <v>School District 5 (Enter Name)</v>
      </c>
      <c r="I154" s="93"/>
      <c r="J154" s="93"/>
      <c r="K154" s="95">
        <f>SUM(I154:J154)</f>
        <v>0</v>
      </c>
      <c r="N154" s="29"/>
      <c r="O154" s="75"/>
    </row>
    <row r="155" spans="2:15" ht="12" customHeight="1" x14ac:dyDescent="0.2">
      <c r="B155" s="109"/>
      <c r="C155" s="13"/>
      <c r="D155" s="13"/>
      <c r="E155" s="13" t="s">
        <v>107</v>
      </c>
      <c r="H155" s="92"/>
      <c r="I155" s="96">
        <f>SUM(I150:I154)</f>
        <v>819</v>
      </c>
      <c r="J155" s="96">
        <f>SUM(J150:J154)</f>
        <v>164</v>
      </c>
      <c r="K155" s="96">
        <f>SUM(K150:K154)</f>
        <v>819</v>
      </c>
      <c r="L155" s="92"/>
      <c r="M155" s="92"/>
      <c r="N155" s="92"/>
      <c r="O155" s="75"/>
    </row>
    <row r="156" spans="2:15" ht="7.5" customHeight="1" x14ac:dyDescent="0.2">
      <c r="B156" s="109"/>
      <c r="C156" s="16"/>
      <c r="D156" s="16"/>
      <c r="N156" s="43"/>
      <c r="O156" s="75"/>
    </row>
    <row r="157" spans="2:15" ht="12" customHeight="1" x14ac:dyDescent="0.2">
      <c r="B157" s="109"/>
      <c r="C157" s="26"/>
      <c r="D157" s="26"/>
      <c r="E157" s="26" t="s">
        <v>108</v>
      </c>
      <c r="H157" s="92"/>
      <c r="I157" s="97">
        <f>IF(I155&gt;0,I54/I155,0)</f>
        <v>14262.169868317585</v>
      </c>
      <c r="J157" s="97">
        <f>IF(J155&gt;0,J54/J155,0)</f>
        <v>13917.170900709794</v>
      </c>
      <c r="K157" s="97">
        <f>IF(K155&gt;0,K54/K155,0)</f>
        <v>0</v>
      </c>
      <c r="L157" s="19"/>
      <c r="M157" s="19"/>
      <c r="N157" s="19"/>
      <c r="O157" s="75"/>
    </row>
    <row r="158" spans="2:15" ht="7.5" customHeight="1" x14ac:dyDescent="0.2">
      <c r="B158" s="109"/>
      <c r="C158" s="16"/>
      <c r="D158" s="16"/>
      <c r="N158" s="43"/>
      <c r="O158" s="75"/>
    </row>
    <row r="159" spans="2:15" ht="12" customHeight="1" x14ac:dyDescent="0.2">
      <c r="B159" s="109"/>
      <c r="C159" s="26"/>
      <c r="D159" s="26"/>
      <c r="E159" s="26" t="s">
        <v>109</v>
      </c>
      <c r="H159" s="92"/>
      <c r="I159" s="97">
        <f>IF(I155&gt;0,I144/I155,0)</f>
        <v>13002.081705152916</v>
      </c>
      <c r="J159" s="97">
        <f>IF(J155&gt;0,J144/J155,0)</f>
        <v>15864.232341669094</v>
      </c>
      <c r="K159" s="97">
        <f>IF(K155&gt;0,K144/K155,0)</f>
        <v>0</v>
      </c>
      <c r="L159" s="19"/>
      <c r="M159" s="19"/>
      <c r="N159" s="19"/>
      <c r="O159" s="75"/>
    </row>
    <row r="160" spans="2:15" ht="12" thickBot="1" x14ac:dyDescent="0.25">
      <c r="B160" s="111"/>
      <c r="C160" s="112"/>
      <c r="D160" s="112"/>
      <c r="E160" s="113"/>
      <c r="F160" s="114"/>
      <c r="G160" s="114"/>
      <c r="H160" s="115"/>
      <c r="I160" s="115"/>
      <c r="J160" s="115"/>
      <c r="K160" s="115"/>
      <c r="L160" s="115"/>
      <c r="M160" s="115"/>
      <c r="N160" s="112"/>
      <c r="O160" s="67"/>
    </row>
    <row r="162" spans="5:11" x14ac:dyDescent="0.2">
      <c r="J162" s="44"/>
      <c r="K162" s="45"/>
    </row>
    <row r="163" spans="5:11" x14ac:dyDescent="0.2">
      <c r="J163" s="44"/>
      <c r="K163" s="45"/>
    </row>
    <row r="164" spans="5:11" x14ac:dyDescent="0.2">
      <c r="J164" s="44"/>
      <c r="K164" s="45"/>
    </row>
    <row r="165" spans="5:11" x14ac:dyDescent="0.2">
      <c r="J165" s="44"/>
      <c r="K165" s="44"/>
    </row>
    <row r="166" spans="5:11" x14ac:dyDescent="0.2">
      <c r="J166" s="44"/>
      <c r="K166" s="44"/>
    </row>
    <row r="168" spans="5:11" x14ac:dyDescent="0.2">
      <c r="K168" s="27"/>
    </row>
    <row r="169" spans="5:11" x14ac:dyDescent="0.2">
      <c r="E169" s="27"/>
      <c r="F169" s="28"/>
      <c r="G169" s="28"/>
    </row>
    <row r="170" spans="5:11" x14ac:dyDescent="0.2">
      <c r="E170" s="27"/>
      <c r="F170" s="28"/>
      <c r="G170" s="28"/>
    </row>
  </sheetData>
  <mergeCells count="7">
    <mergeCell ref="I13:K13"/>
    <mergeCell ref="L13:M13"/>
    <mergeCell ref="B2:N2"/>
    <mergeCell ref="B3:N3"/>
    <mergeCell ref="B4:N4"/>
    <mergeCell ref="B13:E14"/>
    <mergeCell ref="E5:N5"/>
  </mergeCells>
  <phoneticPr fontId="2" type="noConversion"/>
  <pageMargins left="0.5" right="0.5" top="0.5" bottom="0.5" header="0.5" footer="0.5"/>
  <pageSetup scale="63" fitToHeight="3"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08"/>
  <sheetViews>
    <sheetView topLeftCell="A26" workbookViewId="0">
      <selection activeCell="B39" sqref="B39:B42"/>
    </sheetView>
  </sheetViews>
  <sheetFormatPr defaultRowHeight="14.25" x14ac:dyDescent="0.2"/>
  <cols>
    <col min="1" max="1" width="45.125" customWidth="1"/>
    <col min="2" max="2" width="29.375" customWidth="1"/>
    <col min="3" max="3" width="19.875" customWidth="1"/>
    <col min="11" max="11" width="14.25" customWidth="1"/>
    <col min="16" max="16" width="11" style="173" bestFit="1" customWidth="1"/>
    <col min="17" max="17" width="10.375" customWidth="1"/>
  </cols>
  <sheetData>
    <row r="1" spans="1:17" ht="26.25" thickBot="1" x14ac:dyDescent="0.3">
      <c r="A1" s="203" t="s">
        <v>142</v>
      </c>
      <c r="B1" s="204"/>
      <c r="E1" s="133" t="s">
        <v>143</v>
      </c>
      <c r="F1" s="134" t="s">
        <v>144</v>
      </c>
      <c r="G1" s="135" t="s">
        <v>145</v>
      </c>
      <c r="H1" s="135" t="s">
        <v>146</v>
      </c>
      <c r="I1" s="136" t="s">
        <v>147</v>
      </c>
      <c r="J1" s="137"/>
      <c r="K1" s="138" t="s">
        <v>148</v>
      </c>
      <c r="L1" s="138" t="s">
        <v>149</v>
      </c>
      <c r="M1" s="138" t="s">
        <v>145</v>
      </c>
      <c r="N1" s="138" t="s">
        <v>25</v>
      </c>
      <c r="O1" s="139" t="s">
        <v>150</v>
      </c>
      <c r="P1" s="172"/>
      <c r="Q1" s="140" t="s">
        <v>151</v>
      </c>
    </row>
    <row r="2" spans="1:17" ht="26.25" x14ac:dyDescent="0.25">
      <c r="A2" s="203" t="s">
        <v>152</v>
      </c>
      <c r="B2" s="204"/>
      <c r="E2" s="205" t="s">
        <v>153</v>
      </c>
      <c r="F2" s="205"/>
      <c r="G2" s="205"/>
      <c r="H2" s="141">
        <v>819</v>
      </c>
      <c r="I2" s="142">
        <v>164</v>
      </c>
      <c r="J2" s="143"/>
      <c r="K2" s="144" t="s">
        <v>154</v>
      </c>
      <c r="L2" s="145"/>
      <c r="M2" s="145"/>
      <c r="N2" s="145"/>
      <c r="O2" s="145"/>
    </row>
    <row r="3" spans="1:17" x14ac:dyDescent="0.2">
      <c r="A3" s="206" t="s">
        <v>155</v>
      </c>
      <c r="B3" s="204"/>
      <c r="E3" s="207" t="s">
        <v>156</v>
      </c>
      <c r="F3" s="207"/>
      <c r="G3" s="207"/>
      <c r="H3" s="146">
        <f>1-I3</f>
        <v>0.7997557997557998</v>
      </c>
      <c r="I3" s="146">
        <f>I2/H2</f>
        <v>0.20024420024420025</v>
      </c>
      <c r="J3" s="143"/>
      <c r="K3" s="147">
        <f>K89/$B$89</f>
        <v>0.67555059732799927</v>
      </c>
      <c r="L3" s="147">
        <f>L89/$B$89</f>
        <v>0.16486993102201086</v>
      </c>
      <c r="M3" s="147">
        <f>M89/$B$89</f>
        <v>0</v>
      </c>
      <c r="N3" s="147">
        <f>N89/$B$89</f>
        <v>0</v>
      </c>
      <c r="O3" s="147">
        <f>O89/$B$89</f>
        <v>0.15957947164999015</v>
      </c>
    </row>
    <row r="5" spans="1:17" x14ac:dyDescent="0.2">
      <c r="A5" s="148"/>
      <c r="B5" s="149" t="s">
        <v>157</v>
      </c>
    </row>
    <row r="6" spans="1:17" x14ac:dyDescent="0.2">
      <c r="A6" s="150" t="s">
        <v>343</v>
      </c>
      <c r="B6" s="151"/>
    </row>
    <row r="7" spans="1:17" x14ac:dyDescent="0.2">
      <c r="A7" s="150" t="s">
        <v>158</v>
      </c>
      <c r="B7" s="151"/>
    </row>
    <row r="8" spans="1:17" x14ac:dyDescent="0.2">
      <c r="A8" s="150" t="s">
        <v>344</v>
      </c>
      <c r="B8" s="152">
        <f>12536433</f>
        <v>12536433</v>
      </c>
      <c r="C8" s="153" t="s">
        <v>117</v>
      </c>
      <c r="E8" s="154">
        <v>0.85</v>
      </c>
      <c r="F8" s="154"/>
      <c r="G8" s="154"/>
      <c r="H8" s="154"/>
      <c r="I8" s="154">
        <v>0.15</v>
      </c>
      <c r="K8" s="155">
        <f>B8*E8</f>
        <v>10655968.049999999</v>
      </c>
      <c r="L8" s="155">
        <f t="shared" ref="L8:L14" si="0">B8*F8</f>
        <v>0</v>
      </c>
      <c r="M8" s="155">
        <f t="shared" ref="M8:M14" si="1">B8*G8</f>
        <v>0</v>
      </c>
      <c r="N8" s="155">
        <f t="shared" ref="N8:N14" si="2">B8*H8</f>
        <v>0</v>
      </c>
      <c r="O8" s="155">
        <f>B8*I8</f>
        <v>1880464.95</v>
      </c>
      <c r="P8" s="174"/>
      <c r="Q8" s="156">
        <f>SUM(K8:P8)-B8</f>
        <v>0</v>
      </c>
    </row>
    <row r="9" spans="1:17" x14ac:dyDescent="0.2">
      <c r="A9" s="150" t="s">
        <v>159</v>
      </c>
      <c r="B9" s="152">
        <f>1896225</f>
        <v>1896225</v>
      </c>
      <c r="C9" s="153" t="s">
        <v>12</v>
      </c>
      <c r="E9" s="154"/>
      <c r="F9" s="154">
        <v>1</v>
      </c>
      <c r="G9" s="154"/>
      <c r="H9" s="154"/>
      <c r="I9" s="154"/>
      <c r="K9" s="155">
        <f t="shared" ref="K9:K14" si="3">B9*E9</f>
        <v>0</v>
      </c>
      <c r="L9" s="155">
        <f t="shared" si="0"/>
        <v>1896225</v>
      </c>
      <c r="M9" s="155">
        <f t="shared" si="1"/>
        <v>0</v>
      </c>
      <c r="N9" s="155">
        <f t="shared" si="2"/>
        <v>0</v>
      </c>
      <c r="O9" s="155">
        <f t="shared" ref="O9:O14" si="4">B9*I9</f>
        <v>0</v>
      </c>
      <c r="P9" s="174"/>
      <c r="Q9" s="156">
        <f t="shared" ref="Q9:Q105" si="5">SUM(K9:P9)-B9</f>
        <v>0</v>
      </c>
    </row>
    <row r="10" spans="1:17" x14ac:dyDescent="0.2">
      <c r="A10" s="150" t="s">
        <v>160</v>
      </c>
      <c r="B10" s="152">
        <f>426633</f>
        <v>426633</v>
      </c>
      <c r="C10" s="153" t="s">
        <v>132</v>
      </c>
      <c r="E10" s="157">
        <f t="shared" ref="E10:E14" si="6">$H$3</f>
        <v>0.7997557997557998</v>
      </c>
      <c r="F10" s="157">
        <f t="shared" ref="F10:F14" si="7">$I$3</f>
        <v>0.20024420024420025</v>
      </c>
      <c r="G10" s="157"/>
      <c r="H10" s="157"/>
      <c r="I10" s="157"/>
      <c r="K10" s="155">
        <f t="shared" si="3"/>
        <v>341202.21611721616</v>
      </c>
      <c r="L10" s="155">
        <f t="shared" si="0"/>
        <v>85430.783882783886</v>
      </c>
      <c r="M10" s="155">
        <f t="shared" si="1"/>
        <v>0</v>
      </c>
      <c r="N10" s="155">
        <f t="shared" si="2"/>
        <v>0</v>
      </c>
      <c r="O10" s="155">
        <f t="shared" si="4"/>
        <v>0</v>
      </c>
      <c r="P10" s="174"/>
      <c r="Q10" s="156">
        <f t="shared" si="5"/>
        <v>0</v>
      </c>
    </row>
    <row r="11" spans="1:17" x14ac:dyDescent="0.2">
      <c r="A11" s="150" t="s">
        <v>161</v>
      </c>
      <c r="B11" s="152">
        <f>50450.4</f>
        <v>50450.400000000001</v>
      </c>
      <c r="C11" s="153" t="s">
        <v>28</v>
      </c>
      <c r="E11" s="157">
        <f t="shared" si="6"/>
        <v>0.7997557997557998</v>
      </c>
      <c r="F11" s="157">
        <f t="shared" si="7"/>
        <v>0.20024420024420025</v>
      </c>
      <c r="G11" s="157"/>
      <c r="H11" s="157"/>
      <c r="I11" s="157"/>
      <c r="K11" s="155">
        <f t="shared" si="3"/>
        <v>40348</v>
      </c>
      <c r="L11" s="155">
        <f t="shared" si="0"/>
        <v>10102.400000000001</v>
      </c>
      <c r="M11" s="155">
        <f t="shared" si="1"/>
        <v>0</v>
      </c>
      <c r="N11" s="155">
        <f t="shared" si="2"/>
        <v>0</v>
      </c>
      <c r="O11" s="155">
        <f t="shared" si="4"/>
        <v>0</v>
      </c>
      <c r="P11" s="174"/>
      <c r="Q11" s="156">
        <f t="shared" si="5"/>
        <v>0</v>
      </c>
    </row>
    <row r="12" spans="1:17" x14ac:dyDescent="0.2">
      <c r="A12" s="150" t="s">
        <v>162</v>
      </c>
      <c r="B12" s="152">
        <f>12940.2</f>
        <v>12940.2</v>
      </c>
      <c r="C12" s="153" t="s">
        <v>28</v>
      </c>
      <c r="E12" s="157">
        <f t="shared" si="6"/>
        <v>0.7997557997557998</v>
      </c>
      <c r="F12" s="157">
        <f t="shared" si="7"/>
        <v>0.20024420024420025</v>
      </c>
      <c r="G12" s="157"/>
      <c r="H12" s="157"/>
      <c r="I12" s="157"/>
      <c r="K12" s="155">
        <f t="shared" si="3"/>
        <v>10349.000000000002</v>
      </c>
      <c r="L12" s="155">
        <f t="shared" si="0"/>
        <v>2591.2000000000003</v>
      </c>
      <c r="M12" s="155">
        <f t="shared" si="1"/>
        <v>0</v>
      </c>
      <c r="N12" s="155">
        <f t="shared" si="2"/>
        <v>0</v>
      </c>
      <c r="O12" s="155">
        <f t="shared" si="4"/>
        <v>0</v>
      </c>
      <c r="P12" s="174"/>
      <c r="Q12" s="156">
        <f t="shared" si="5"/>
        <v>0</v>
      </c>
    </row>
    <row r="13" spans="1:17" x14ac:dyDescent="0.2">
      <c r="A13" s="150" t="s">
        <v>163</v>
      </c>
      <c r="B13" s="152">
        <f>5405.4</f>
        <v>5405.4</v>
      </c>
      <c r="C13" s="153" t="s">
        <v>28</v>
      </c>
      <c r="E13" s="157">
        <f t="shared" si="6"/>
        <v>0.7997557997557998</v>
      </c>
      <c r="F13" s="157">
        <f t="shared" si="7"/>
        <v>0.20024420024420025</v>
      </c>
      <c r="G13" s="157"/>
      <c r="H13" s="157"/>
      <c r="I13" s="157"/>
      <c r="K13" s="155">
        <f t="shared" si="3"/>
        <v>4323</v>
      </c>
      <c r="L13" s="155">
        <f t="shared" si="0"/>
        <v>1082.4000000000001</v>
      </c>
      <c r="M13" s="155">
        <f t="shared" si="1"/>
        <v>0</v>
      </c>
      <c r="N13" s="155">
        <f t="shared" si="2"/>
        <v>0</v>
      </c>
      <c r="O13" s="155">
        <f t="shared" si="4"/>
        <v>0</v>
      </c>
      <c r="P13" s="174"/>
      <c r="Q13" s="156">
        <f t="shared" si="5"/>
        <v>0</v>
      </c>
    </row>
    <row r="14" spans="1:17" x14ac:dyDescent="0.2">
      <c r="A14" s="150" t="s">
        <v>345</v>
      </c>
      <c r="B14" s="152">
        <f>369369</f>
        <v>369369</v>
      </c>
      <c r="C14" s="153" t="s">
        <v>132</v>
      </c>
      <c r="E14" s="157">
        <f t="shared" si="6"/>
        <v>0.7997557997557998</v>
      </c>
      <c r="F14" s="157">
        <f t="shared" si="7"/>
        <v>0.20024420024420025</v>
      </c>
      <c r="G14" s="157"/>
      <c r="H14" s="157"/>
      <c r="I14" s="157"/>
      <c r="K14" s="155">
        <f t="shared" si="3"/>
        <v>295405</v>
      </c>
      <c r="L14" s="155">
        <f t="shared" si="0"/>
        <v>73964</v>
      </c>
      <c r="M14" s="155">
        <f t="shared" si="1"/>
        <v>0</v>
      </c>
      <c r="N14" s="155">
        <f t="shared" si="2"/>
        <v>0</v>
      </c>
      <c r="O14" s="155">
        <f t="shared" si="4"/>
        <v>0</v>
      </c>
      <c r="P14" s="174"/>
      <c r="Q14" s="156">
        <f t="shared" si="5"/>
        <v>0</v>
      </c>
    </row>
    <row r="15" spans="1:17" x14ac:dyDescent="0.2">
      <c r="A15" s="150" t="s">
        <v>164</v>
      </c>
      <c r="B15" s="158">
        <f>(((((((B7)+(B8))+(B9))+(B10))+(B11))+(B12))+(B13))+(B14)</f>
        <v>15297456</v>
      </c>
      <c r="E15" s="159" t="s">
        <v>165</v>
      </c>
      <c r="F15" s="159" t="s">
        <v>165</v>
      </c>
      <c r="G15" s="159" t="s">
        <v>165</v>
      </c>
      <c r="H15" s="159" t="s">
        <v>165</v>
      </c>
      <c r="I15" s="159" t="s">
        <v>165</v>
      </c>
      <c r="K15" s="160" t="s">
        <v>165</v>
      </c>
      <c r="L15" s="160" t="s">
        <v>165</v>
      </c>
      <c r="M15" s="160" t="s">
        <v>165</v>
      </c>
      <c r="N15" s="160" t="s">
        <v>165</v>
      </c>
      <c r="O15" s="160" t="s">
        <v>165</v>
      </c>
      <c r="P15" s="174"/>
      <c r="Q15" s="156">
        <f t="shared" si="5"/>
        <v>-15297456</v>
      </c>
    </row>
    <row r="16" spans="1:17" x14ac:dyDescent="0.2">
      <c r="A16" s="150" t="s">
        <v>166</v>
      </c>
      <c r="B16" s="151"/>
      <c r="P16" s="174"/>
      <c r="Q16" s="156">
        <f t="shared" si="5"/>
        <v>0</v>
      </c>
    </row>
    <row r="17" spans="1:17" x14ac:dyDescent="0.2">
      <c r="A17" s="150" t="s">
        <v>167</v>
      </c>
      <c r="B17" s="152">
        <f>130000</f>
        <v>130000</v>
      </c>
      <c r="C17" s="153" t="s">
        <v>18</v>
      </c>
      <c r="E17" s="154"/>
      <c r="F17" s="154">
        <v>1</v>
      </c>
      <c r="G17" s="154"/>
      <c r="H17" s="154"/>
      <c r="I17" s="154"/>
      <c r="K17" s="155">
        <f t="shared" ref="K17:K21" si="8">B17*E17</f>
        <v>0</v>
      </c>
      <c r="L17" s="155">
        <f t="shared" ref="L17:L21" si="9">B17*F17</f>
        <v>130000</v>
      </c>
      <c r="M17" s="155">
        <f t="shared" ref="M17:M21" si="10">B17*G17</f>
        <v>0</v>
      </c>
      <c r="N17" s="155">
        <f t="shared" ref="N17:N21" si="11">B17*H17</f>
        <v>0</v>
      </c>
      <c r="O17" s="155">
        <f t="shared" ref="O17:O21" si="12">B17*I17</f>
        <v>0</v>
      </c>
      <c r="P17" s="174"/>
      <c r="Q17" s="156">
        <f t="shared" si="5"/>
        <v>0</v>
      </c>
    </row>
    <row r="18" spans="1:17" x14ac:dyDescent="0.2">
      <c r="A18" s="150" t="s">
        <v>168</v>
      </c>
      <c r="B18" s="152">
        <f>50000</f>
        <v>50000</v>
      </c>
      <c r="C18" s="153" t="s">
        <v>26</v>
      </c>
      <c r="E18" s="161">
        <f>$K$3</f>
        <v>0.67555059732799927</v>
      </c>
      <c r="F18" s="161">
        <f>$L$3</f>
        <v>0.16486993102201086</v>
      </c>
      <c r="G18" s="161">
        <f>$M$3</f>
        <v>0</v>
      </c>
      <c r="H18" s="161">
        <f>$N$3</f>
        <v>0</v>
      </c>
      <c r="I18" s="161">
        <f>$O$3</f>
        <v>0.15957947164999015</v>
      </c>
      <c r="K18" s="155">
        <f t="shared" si="8"/>
        <v>33777.529866399964</v>
      </c>
      <c r="L18" s="155">
        <f t="shared" si="9"/>
        <v>8243.496551100543</v>
      </c>
      <c r="M18" s="155">
        <f t="shared" si="10"/>
        <v>0</v>
      </c>
      <c r="N18" s="155">
        <f t="shared" si="11"/>
        <v>0</v>
      </c>
      <c r="O18" s="155">
        <f t="shared" si="12"/>
        <v>7978.9735824995068</v>
      </c>
      <c r="P18" s="174"/>
      <c r="Q18" s="156">
        <f t="shared" si="5"/>
        <v>0</v>
      </c>
    </row>
    <row r="19" spans="1:17" x14ac:dyDescent="0.2">
      <c r="A19" s="150" t="s">
        <v>169</v>
      </c>
      <c r="B19" s="152">
        <f>150000</f>
        <v>150000</v>
      </c>
      <c r="C19" s="153" t="s">
        <v>19</v>
      </c>
      <c r="E19" s="157">
        <f t="shared" ref="E19" si="13">$H$3</f>
        <v>0.7997557997557998</v>
      </c>
      <c r="F19" s="157">
        <f t="shared" ref="F19" si="14">$I$3</f>
        <v>0.20024420024420025</v>
      </c>
      <c r="G19" s="157"/>
      <c r="H19" s="157"/>
      <c r="I19" s="157"/>
      <c r="K19" s="155">
        <f t="shared" si="8"/>
        <v>119963.36996336997</v>
      </c>
      <c r="L19" s="155">
        <f t="shared" si="9"/>
        <v>30036.630036630038</v>
      </c>
      <c r="M19" s="155">
        <f t="shared" si="10"/>
        <v>0</v>
      </c>
      <c r="N19" s="155">
        <f t="shared" si="11"/>
        <v>0</v>
      </c>
      <c r="O19" s="155">
        <f t="shared" si="12"/>
        <v>0</v>
      </c>
      <c r="P19" s="174"/>
      <c r="Q19" s="156">
        <f t="shared" si="5"/>
        <v>0</v>
      </c>
    </row>
    <row r="20" spans="1:17" x14ac:dyDescent="0.2">
      <c r="A20" s="150" t="s">
        <v>170</v>
      </c>
      <c r="B20" s="152">
        <f>90000</f>
        <v>90000</v>
      </c>
      <c r="C20" s="153" t="s">
        <v>20</v>
      </c>
      <c r="E20" s="157">
        <f>$H$3</f>
        <v>0.7997557997557998</v>
      </c>
      <c r="F20" s="157">
        <f>$I$3</f>
        <v>0.20024420024420025</v>
      </c>
      <c r="G20" s="157"/>
      <c r="H20" s="157"/>
      <c r="I20" s="157"/>
      <c r="K20" s="155">
        <f t="shared" si="8"/>
        <v>71978.021978021978</v>
      </c>
      <c r="L20" s="155">
        <f t="shared" si="9"/>
        <v>18021.978021978022</v>
      </c>
      <c r="M20" s="155">
        <f t="shared" si="10"/>
        <v>0</v>
      </c>
      <c r="N20" s="155">
        <f t="shared" si="11"/>
        <v>0</v>
      </c>
      <c r="O20" s="155">
        <f t="shared" si="12"/>
        <v>0</v>
      </c>
      <c r="P20" s="174"/>
      <c r="Q20" s="156">
        <f t="shared" si="5"/>
        <v>0</v>
      </c>
    </row>
    <row r="21" spans="1:17" x14ac:dyDescent="0.2">
      <c r="A21" s="150" t="s">
        <v>171</v>
      </c>
      <c r="B21" s="152">
        <f>10000</f>
        <v>10000</v>
      </c>
      <c r="C21" s="153" t="s">
        <v>20</v>
      </c>
      <c r="E21" s="157">
        <f>$H$3</f>
        <v>0.7997557997557998</v>
      </c>
      <c r="F21" s="157">
        <f>$I$3</f>
        <v>0.20024420024420025</v>
      </c>
      <c r="G21" s="157"/>
      <c r="H21" s="157"/>
      <c r="I21" s="157"/>
      <c r="K21" s="155">
        <f t="shared" si="8"/>
        <v>7997.5579975579976</v>
      </c>
      <c r="L21" s="155">
        <f t="shared" si="9"/>
        <v>2002.4420024420026</v>
      </c>
      <c r="M21" s="155">
        <f t="shared" si="10"/>
        <v>0</v>
      </c>
      <c r="N21" s="155">
        <f t="shared" si="11"/>
        <v>0</v>
      </c>
      <c r="O21" s="155">
        <f t="shared" si="12"/>
        <v>0</v>
      </c>
      <c r="P21" s="174"/>
      <c r="Q21" s="156">
        <f t="shared" si="5"/>
        <v>0</v>
      </c>
    </row>
    <row r="22" spans="1:17" x14ac:dyDescent="0.2">
      <c r="A22" s="150" t="s">
        <v>172</v>
      </c>
      <c r="B22" s="158">
        <f>(((((B16)+(B17))+(B18))+(B19))+(B20))+(B21)</f>
        <v>430000</v>
      </c>
      <c r="E22" s="159" t="s">
        <v>165</v>
      </c>
      <c r="F22" s="159" t="s">
        <v>165</v>
      </c>
      <c r="G22" s="159" t="s">
        <v>165</v>
      </c>
      <c r="H22" s="159" t="s">
        <v>165</v>
      </c>
      <c r="I22" s="159" t="s">
        <v>165</v>
      </c>
      <c r="K22" s="160" t="s">
        <v>165</v>
      </c>
      <c r="L22" s="160" t="s">
        <v>165</v>
      </c>
      <c r="M22" s="160" t="s">
        <v>165</v>
      </c>
      <c r="N22" s="160" t="s">
        <v>165</v>
      </c>
      <c r="O22" s="160" t="s">
        <v>165</v>
      </c>
      <c r="P22" s="174"/>
      <c r="Q22" s="156">
        <f t="shared" si="5"/>
        <v>-430000</v>
      </c>
    </row>
    <row r="23" spans="1:17" x14ac:dyDescent="0.2">
      <c r="A23" s="150" t="s">
        <v>173</v>
      </c>
      <c r="B23" s="151"/>
      <c r="P23" s="174"/>
      <c r="Q23" s="156">
        <f t="shared" si="5"/>
        <v>0</v>
      </c>
    </row>
    <row r="24" spans="1:17" x14ac:dyDescent="0.2">
      <c r="A24" s="150" t="s">
        <v>174</v>
      </c>
      <c r="B24" s="152">
        <f>10000</f>
        <v>10000</v>
      </c>
      <c r="C24" s="153" t="s">
        <v>119</v>
      </c>
      <c r="E24" s="161">
        <f>$K$3</f>
        <v>0.67555059732799927</v>
      </c>
      <c r="F24" s="161">
        <f>$L$3</f>
        <v>0.16486993102201086</v>
      </c>
      <c r="G24" s="161">
        <f>$M$3</f>
        <v>0</v>
      </c>
      <c r="H24" s="161">
        <f>$N$3</f>
        <v>0</v>
      </c>
      <c r="I24" s="161">
        <f>$O$3</f>
        <v>0.15957947164999015</v>
      </c>
      <c r="K24" s="155">
        <f t="shared" ref="K24:K26" si="15">B24*E24</f>
        <v>6755.5059732799928</v>
      </c>
      <c r="L24" s="155">
        <f t="shared" ref="L24:L26" si="16">B24*F24</f>
        <v>1648.6993102201086</v>
      </c>
      <c r="M24" s="155">
        <f t="shared" ref="M24:M26" si="17">B24*G24</f>
        <v>0</v>
      </c>
      <c r="N24" s="155">
        <f t="shared" ref="N24:N26" si="18">B24*H24</f>
        <v>0</v>
      </c>
      <c r="O24" s="155">
        <f t="shared" ref="O24:O26" si="19">B24*I24</f>
        <v>1595.7947164999014</v>
      </c>
      <c r="P24" s="174"/>
      <c r="Q24" s="156">
        <f t="shared" si="5"/>
        <v>0</v>
      </c>
    </row>
    <row r="25" spans="1:17" x14ac:dyDescent="0.2">
      <c r="A25" s="150" t="s">
        <v>175</v>
      </c>
      <c r="B25" s="152">
        <f>30000</f>
        <v>30000</v>
      </c>
      <c r="C25" s="153" t="s">
        <v>119</v>
      </c>
      <c r="E25" s="161">
        <f>$K$3</f>
        <v>0.67555059732799927</v>
      </c>
      <c r="F25" s="161">
        <f>$L$3</f>
        <v>0.16486993102201086</v>
      </c>
      <c r="G25" s="161">
        <f>$M$3</f>
        <v>0</v>
      </c>
      <c r="H25" s="161">
        <f>$N$3</f>
        <v>0</v>
      </c>
      <c r="I25" s="161">
        <f>$O$3</f>
        <v>0.15957947164999015</v>
      </c>
      <c r="K25" s="155">
        <f t="shared" si="15"/>
        <v>20266.517919839978</v>
      </c>
      <c r="L25" s="155">
        <f t="shared" si="16"/>
        <v>4946.0979306603258</v>
      </c>
      <c r="M25" s="155">
        <f t="shared" si="17"/>
        <v>0</v>
      </c>
      <c r="N25" s="155">
        <f t="shared" si="18"/>
        <v>0</v>
      </c>
      <c r="O25" s="155">
        <f t="shared" si="19"/>
        <v>4787.3841494997041</v>
      </c>
      <c r="P25" s="174"/>
      <c r="Q25" s="156">
        <f t="shared" si="5"/>
        <v>0</v>
      </c>
    </row>
    <row r="26" spans="1:17" x14ac:dyDescent="0.2">
      <c r="A26" s="150" t="s">
        <v>346</v>
      </c>
      <c r="B26" s="152">
        <f>90000</f>
        <v>90000</v>
      </c>
      <c r="C26" s="153" t="s">
        <v>119</v>
      </c>
      <c r="E26" s="157">
        <f>$H$3</f>
        <v>0.7997557997557998</v>
      </c>
      <c r="F26" s="157">
        <f>$I$3</f>
        <v>0.20024420024420025</v>
      </c>
      <c r="G26" s="157"/>
      <c r="H26" s="157"/>
      <c r="I26" s="157"/>
      <c r="K26" s="155">
        <f t="shared" si="15"/>
        <v>71978.021978021978</v>
      </c>
      <c r="L26" s="155">
        <f t="shared" si="16"/>
        <v>18021.978021978022</v>
      </c>
      <c r="M26" s="155">
        <f t="shared" si="17"/>
        <v>0</v>
      </c>
      <c r="N26" s="155">
        <f t="shared" si="18"/>
        <v>0</v>
      </c>
      <c r="O26" s="155">
        <f t="shared" si="19"/>
        <v>0</v>
      </c>
      <c r="P26" s="174"/>
      <c r="Q26" s="156">
        <f t="shared" si="5"/>
        <v>0</v>
      </c>
    </row>
    <row r="27" spans="1:17" x14ac:dyDescent="0.2">
      <c r="A27" s="150" t="s">
        <v>176</v>
      </c>
      <c r="B27" s="158">
        <f>(((B23)+(B24))+(B25))+(B26)</f>
        <v>130000</v>
      </c>
      <c r="E27" s="159" t="s">
        <v>165</v>
      </c>
      <c r="F27" s="159" t="s">
        <v>165</v>
      </c>
      <c r="G27" s="159" t="s">
        <v>165</v>
      </c>
      <c r="H27" s="159" t="s">
        <v>165</v>
      </c>
      <c r="I27" s="159" t="s">
        <v>165</v>
      </c>
      <c r="K27" s="160" t="s">
        <v>165</v>
      </c>
      <c r="L27" s="160" t="s">
        <v>165</v>
      </c>
      <c r="M27" s="160" t="s">
        <v>165</v>
      </c>
      <c r="N27" s="160" t="s">
        <v>165</v>
      </c>
      <c r="O27" s="160" t="s">
        <v>165</v>
      </c>
      <c r="P27" s="174"/>
      <c r="Q27" s="156">
        <f t="shared" si="5"/>
        <v>-130000</v>
      </c>
    </row>
    <row r="28" spans="1:17" x14ac:dyDescent="0.2">
      <c r="A28" s="150" t="s">
        <v>177</v>
      </c>
      <c r="B28" s="151"/>
      <c r="P28" s="174"/>
      <c r="Q28" s="156">
        <f t="shared" ref="Q28:Q30" si="20">SUM(K28:P28)-B28</f>
        <v>0</v>
      </c>
    </row>
    <row r="29" spans="1:17" x14ac:dyDescent="0.2">
      <c r="A29" s="150" t="s">
        <v>178</v>
      </c>
      <c r="B29" s="152">
        <f>600</f>
        <v>600</v>
      </c>
      <c r="C29" s="153" t="s">
        <v>120</v>
      </c>
      <c r="E29" s="161">
        <f>$K$3</f>
        <v>0.67555059732799927</v>
      </c>
      <c r="F29" s="161">
        <f>$L$3</f>
        <v>0.16486993102201086</v>
      </c>
      <c r="G29" s="161">
        <f>$M$3</f>
        <v>0</v>
      </c>
      <c r="H29" s="161">
        <f>$N$3</f>
        <v>0</v>
      </c>
      <c r="I29" s="161">
        <f>$O$3</f>
        <v>0.15957947164999015</v>
      </c>
      <c r="K29" s="155">
        <f t="shared" ref="K29" si="21">B29*E29</f>
        <v>405.33035839679957</v>
      </c>
      <c r="L29" s="155">
        <f t="shared" ref="L29" si="22">B29*F29</f>
        <v>98.921958613206513</v>
      </c>
      <c r="M29" s="155">
        <f t="shared" ref="M29" si="23">B29*G29</f>
        <v>0</v>
      </c>
      <c r="N29" s="155">
        <f t="shared" ref="N29" si="24">B29*H29</f>
        <v>0</v>
      </c>
      <c r="O29" s="155">
        <f t="shared" ref="O29" si="25">B29*I29</f>
        <v>95.74768298999409</v>
      </c>
      <c r="P29" s="174"/>
      <c r="Q29" s="156">
        <f t="shared" si="20"/>
        <v>0</v>
      </c>
    </row>
    <row r="30" spans="1:17" x14ac:dyDescent="0.2">
      <c r="A30" s="150" t="s">
        <v>179</v>
      </c>
      <c r="B30" s="158">
        <f>(B28)+(B29)</f>
        <v>600</v>
      </c>
      <c r="E30" s="159" t="s">
        <v>165</v>
      </c>
      <c r="F30" s="159" t="s">
        <v>165</v>
      </c>
      <c r="G30" s="159" t="s">
        <v>165</v>
      </c>
      <c r="H30" s="159" t="s">
        <v>165</v>
      </c>
      <c r="I30" s="159" t="s">
        <v>165</v>
      </c>
      <c r="K30" s="160" t="s">
        <v>165</v>
      </c>
      <c r="L30" s="160" t="s">
        <v>165</v>
      </c>
      <c r="M30" s="160" t="s">
        <v>165</v>
      </c>
      <c r="N30" s="160" t="s">
        <v>165</v>
      </c>
      <c r="O30" s="160" t="s">
        <v>165</v>
      </c>
      <c r="P30" s="174"/>
      <c r="Q30" s="156">
        <f t="shared" si="20"/>
        <v>-600</v>
      </c>
    </row>
    <row r="31" spans="1:17" x14ac:dyDescent="0.2">
      <c r="A31" s="150" t="s">
        <v>347</v>
      </c>
      <c r="B31" s="158">
        <f>(((B15)+(B22))+(B27))+(B30)</f>
        <v>15858056</v>
      </c>
      <c r="P31" s="174"/>
      <c r="Q31" s="156">
        <f t="shared" si="5"/>
        <v>-15858056</v>
      </c>
    </row>
    <row r="32" spans="1:17" x14ac:dyDescent="0.2">
      <c r="A32" s="150" t="s">
        <v>180</v>
      </c>
      <c r="B32" s="158">
        <f>(B31)-(0)</f>
        <v>15858056</v>
      </c>
      <c r="P32" s="174"/>
      <c r="Q32" s="156">
        <f t="shared" si="5"/>
        <v>-15858056</v>
      </c>
    </row>
    <row r="33" spans="1:17" x14ac:dyDescent="0.2">
      <c r="A33" s="150" t="s">
        <v>181</v>
      </c>
      <c r="B33" s="151"/>
      <c r="P33" s="174"/>
      <c r="Q33" s="156">
        <f t="shared" si="5"/>
        <v>0</v>
      </c>
    </row>
    <row r="34" spans="1:17" x14ac:dyDescent="0.2">
      <c r="A34" s="150" t="s">
        <v>369</v>
      </c>
      <c r="B34" s="151"/>
      <c r="P34" s="174"/>
      <c r="Q34" s="156">
        <f t="shared" si="5"/>
        <v>0</v>
      </c>
    </row>
    <row r="35" spans="1:17" x14ac:dyDescent="0.2">
      <c r="A35" s="150" t="s">
        <v>182</v>
      </c>
      <c r="B35" s="152">
        <f>204615</f>
        <v>204615</v>
      </c>
      <c r="C35" s="153" t="s">
        <v>35</v>
      </c>
      <c r="D35">
        <v>0.7</v>
      </c>
      <c r="E35" s="154">
        <v>0.65</v>
      </c>
      <c r="F35" s="154">
        <v>0.1</v>
      </c>
      <c r="G35" s="154"/>
      <c r="H35" s="154"/>
      <c r="I35" s="154">
        <v>0.25</v>
      </c>
      <c r="K35" s="155">
        <f t="shared" ref="K35:K61" si="26">B35*E35</f>
        <v>132999.75</v>
      </c>
      <c r="L35" s="155">
        <f t="shared" ref="L35:L61" si="27">B35*F35</f>
        <v>20461.5</v>
      </c>
      <c r="M35" s="155">
        <f t="shared" ref="M35:M61" si="28">B35*G35</f>
        <v>0</v>
      </c>
      <c r="N35" s="155">
        <f t="shared" ref="N35:N61" si="29">B35*H35</f>
        <v>0</v>
      </c>
      <c r="O35" s="155">
        <f t="shared" ref="O35:O61" si="30">B35*I35</f>
        <v>51153.75</v>
      </c>
      <c r="P35" s="174"/>
      <c r="Q35" s="156">
        <f t="shared" si="5"/>
        <v>0</v>
      </c>
    </row>
    <row r="36" spans="1:17" x14ac:dyDescent="0.2">
      <c r="A36" s="150" t="s">
        <v>183</v>
      </c>
      <c r="B36" s="152">
        <f>443080</f>
        <v>443080</v>
      </c>
      <c r="C36" s="153" t="s">
        <v>36</v>
      </c>
      <c r="D36">
        <v>3</v>
      </c>
      <c r="E36" s="154">
        <v>0.65</v>
      </c>
      <c r="F36" s="154">
        <v>0.1</v>
      </c>
      <c r="G36" s="154"/>
      <c r="H36" s="154"/>
      <c r="I36" s="154">
        <v>0.25</v>
      </c>
      <c r="K36" s="155">
        <f t="shared" si="26"/>
        <v>288002</v>
      </c>
      <c r="L36" s="155">
        <f t="shared" si="27"/>
        <v>44308</v>
      </c>
      <c r="M36" s="155">
        <f t="shared" si="28"/>
        <v>0</v>
      </c>
      <c r="N36" s="155">
        <f t="shared" si="29"/>
        <v>0</v>
      </c>
      <c r="O36" s="155">
        <f t="shared" si="30"/>
        <v>110770</v>
      </c>
      <c r="P36" s="174"/>
      <c r="Q36" s="156">
        <f t="shared" si="5"/>
        <v>0</v>
      </c>
    </row>
    <row r="37" spans="1:17" x14ac:dyDescent="0.2">
      <c r="A37" s="150" t="s">
        <v>184</v>
      </c>
      <c r="B37" s="152">
        <f>106000</f>
        <v>106000</v>
      </c>
      <c r="C37" s="153" t="s">
        <v>36</v>
      </c>
      <c r="D37">
        <v>1</v>
      </c>
      <c r="E37" s="157">
        <f t="shared" ref="E37:E61" si="31">$H$3</f>
        <v>0.7997557997557998</v>
      </c>
      <c r="F37" s="157">
        <f t="shared" ref="F37:F61" si="32">$I$3</f>
        <v>0.20024420024420025</v>
      </c>
      <c r="G37" s="157"/>
      <c r="H37" s="157"/>
      <c r="I37" s="157"/>
      <c r="K37" s="155">
        <f t="shared" si="26"/>
        <v>84774.114774114772</v>
      </c>
      <c r="L37" s="155">
        <f t="shared" si="27"/>
        <v>21225.885225885228</v>
      </c>
      <c r="M37" s="155">
        <f t="shared" si="28"/>
        <v>0</v>
      </c>
      <c r="N37" s="155">
        <f t="shared" si="29"/>
        <v>0</v>
      </c>
      <c r="O37" s="155">
        <f t="shared" si="30"/>
        <v>0</v>
      </c>
      <c r="P37" s="174"/>
      <c r="Q37" s="156">
        <f t="shared" si="5"/>
        <v>0</v>
      </c>
    </row>
    <row r="38" spans="1:17" x14ac:dyDescent="0.2">
      <c r="A38" s="150" t="s">
        <v>185</v>
      </c>
      <c r="B38" s="152">
        <f>2839881</f>
        <v>2839881</v>
      </c>
      <c r="C38" s="153" t="s">
        <v>43</v>
      </c>
      <c r="D38">
        <v>42</v>
      </c>
      <c r="E38" s="157">
        <f t="shared" si="31"/>
        <v>0.7997557997557998</v>
      </c>
      <c r="F38" s="157">
        <f t="shared" si="32"/>
        <v>0.20024420024420025</v>
      </c>
      <c r="G38" s="157"/>
      <c r="H38" s="157"/>
      <c r="I38" s="157"/>
      <c r="K38" s="155">
        <f t="shared" si="26"/>
        <v>2271211.3003663006</v>
      </c>
      <c r="L38" s="155">
        <f t="shared" si="27"/>
        <v>568669.69963369961</v>
      </c>
      <c r="M38" s="155">
        <f t="shared" si="28"/>
        <v>0</v>
      </c>
      <c r="N38" s="155">
        <f t="shared" si="29"/>
        <v>0</v>
      </c>
      <c r="O38" s="155">
        <f t="shared" si="30"/>
        <v>0</v>
      </c>
      <c r="P38" s="174"/>
      <c r="Q38" s="156">
        <f t="shared" si="5"/>
        <v>0</v>
      </c>
    </row>
    <row r="39" spans="1:17" x14ac:dyDescent="0.2">
      <c r="A39" s="150" t="s">
        <v>186</v>
      </c>
      <c r="B39" s="152">
        <f>206685</f>
        <v>206685</v>
      </c>
      <c r="C39" s="153" t="s">
        <v>47</v>
      </c>
      <c r="D39">
        <v>3</v>
      </c>
      <c r="E39" s="157">
        <f t="shared" si="31"/>
        <v>0.7997557997557998</v>
      </c>
      <c r="F39" s="157">
        <f t="shared" si="32"/>
        <v>0.20024420024420025</v>
      </c>
      <c r="G39" s="157"/>
      <c r="H39" s="157"/>
      <c r="I39" s="157"/>
      <c r="K39" s="155">
        <f t="shared" si="26"/>
        <v>165297.52747252749</v>
      </c>
      <c r="L39" s="155">
        <f t="shared" si="27"/>
        <v>41387.472527472528</v>
      </c>
      <c r="M39" s="155">
        <f t="shared" si="28"/>
        <v>0</v>
      </c>
      <c r="N39" s="155">
        <f t="shared" si="29"/>
        <v>0</v>
      </c>
      <c r="O39" s="155">
        <f t="shared" si="30"/>
        <v>0</v>
      </c>
      <c r="P39" s="174"/>
      <c r="Q39" s="156">
        <f t="shared" si="5"/>
        <v>0</v>
      </c>
    </row>
    <row r="40" spans="1:17" x14ac:dyDescent="0.2">
      <c r="A40" s="150" t="s">
        <v>187</v>
      </c>
      <c r="B40" s="152">
        <f>138388</f>
        <v>138388</v>
      </c>
      <c r="C40" s="153" t="s">
        <v>47</v>
      </c>
      <c r="D40">
        <v>2</v>
      </c>
      <c r="E40" s="157">
        <f t="shared" si="31"/>
        <v>0.7997557997557998</v>
      </c>
      <c r="F40" s="157">
        <f t="shared" si="32"/>
        <v>0.20024420024420025</v>
      </c>
      <c r="G40" s="157"/>
      <c r="H40" s="157"/>
      <c r="I40" s="157"/>
      <c r="K40" s="155">
        <f t="shared" si="26"/>
        <v>110676.60561660562</v>
      </c>
      <c r="L40" s="155">
        <f t="shared" si="27"/>
        <v>27711.394383394385</v>
      </c>
      <c r="M40" s="155">
        <f t="shared" si="28"/>
        <v>0</v>
      </c>
      <c r="N40" s="155">
        <f t="shared" si="29"/>
        <v>0</v>
      </c>
      <c r="O40" s="155">
        <f t="shared" si="30"/>
        <v>0</v>
      </c>
      <c r="P40" s="174"/>
      <c r="Q40" s="156">
        <f t="shared" si="5"/>
        <v>0</v>
      </c>
    </row>
    <row r="41" spans="1:17" x14ac:dyDescent="0.2">
      <c r="A41" s="150" t="s">
        <v>188</v>
      </c>
      <c r="B41" s="152">
        <f>240027</f>
        <v>240027</v>
      </c>
      <c r="C41" s="153" t="s">
        <v>47</v>
      </c>
      <c r="D41">
        <v>3</v>
      </c>
      <c r="E41" s="157">
        <f t="shared" si="31"/>
        <v>0.7997557997557998</v>
      </c>
      <c r="F41" s="157">
        <f t="shared" si="32"/>
        <v>0.20024420024420025</v>
      </c>
      <c r="G41" s="157"/>
      <c r="H41" s="157"/>
      <c r="I41" s="157"/>
      <c r="K41" s="155">
        <f t="shared" si="26"/>
        <v>191962.98534798535</v>
      </c>
      <c r="L41" s="155">
        <f t="shared" si="27"/>
        <v>48064.014652014652</v>
      </c>
      <c r="M41" s="155">
        <f t="shared" si="28"/>
        <v>0</v>
      </c>
      <c r="N41" s="155">
        <f t="shared" si="29"/>
        <v>0</v>
      </c>
      <c r="O41" s="155">
        <f t="shared" si="30"/>
        <v>0</v>
      </c>
      <c r="P41" s="174"/>
      <c r="Q41" s="156">
        <f t="shared" si="5"/>
        <v>0</v>
      </c>
    </row>
    <row r="42" spans="1:17" x14ac:dyDescent="0.2">
      <c r="A42" s="150" t="s">
        <v>189</v>
      </c>
      <c r="B42" s="152">
        <f>853745</f>
        <v>853745</v>
      </c>
      <c r="C42" s="153" t="s">
        <v>47</v>
      </c>
      <c r="D42">
        <v>12</v>
      </c>
      <c r="E42" s="157">
        <f t="shared" si="31"/>
        <v>0.7997557997557998</v>
      </c>
      <c r="F42" s="157">
        <f t="shared" si="32"/>
        <v>0.20024420024420025</v>
      </c>
      <c r="G42" s="157"/>
      <c r="H42" s="157"/>
      <c r="I42" s="157"/>
      <c r="K42" s="155">
        <f t="shared" si="26"/>
        <v>682787.51526251528</v>
      </c>
      <c r="L42" s="155">
        <f t="shared" si="27"/>
        <v>170957.48473748474</v>
      </c>
      <c r="M42" s="155">
        <f t="shared" si="28"/>
        <v>0</v>
      </c>
      <c r="N42" s="155">
        <f t="shared" si="29"/>
        <v>0</v>
      </c>
      <c r="O42" s="155">
        <f t="shared" si="30"/>
        <v>0</v>
      </c>
      <c r="P42" s="174"/>
      <c r="Q42" s="156">
        <f t="shared" si="5"/>
        <v>0</v>
      </c>
    </row>
    <row r="43" spans="1:17" x14ac:dyDescent="0.2">
      <c r="A43" s="150" t="s">
        <v>190</v>
      </c>
      <c r="B43" s="152">
        <f>106292</f>
        <v>106292</v>
      </c>
      <c r="C43" s="153" t="s">
        <v>49</v>
      </c>
      <c r="D43">
        <v>1</v>
      </c>
      <c r="E43" s="157">
        <f t="shared" si="31"/>
        <v>0.7997557997557998</v>
      </c>
      <c r="F43" s="157">
        <f t="shared" si="32"/>
        <v>0.20024420024420025</v>
      </c>
      <c r="G43" s="157"/>
      <c r="H43" s="157"/>
      <c r="I43" s="157"/>
      <c r="K43" s="155">
        <f t="shared" si="26"/>
        <v>85007.643467643473</v>
      </c>
      <c r="L43" s="155">
        <f t="shared" si="27"/>
        <v>21284.356532356534</v>
      </c>
      <c r="M43" s="155">
        <f t="shared" si="28"/>
        <v>0</v>
      </c>
      <c r="N43" s="155">
        <f t="shared" si="29"/>
        <v>0</v>
      </c>
      <c r="O43" s="155">
        <f t="shared" si="30"/>
        <v>0</v>
      </c>
      <c r="P43" s="174"/>
      <c r="Q43" s="156">
        <f t="shared" si="5"/>
        <v>0</v>
      </c>
    </row>
    <row r="44" spans="1:17" x14ac:dyDescent="0.2">
      <c r="A44" s="150" t="s">
        <v>191</v>
      </c>
      <c r="B44" s="152">
        <f>392190</f>
        <v>392190</v>
      </c>
      <c r="C44" s="153" t="s">
        <v>43</v>
      </c>
      <c r="D44">
        <v>5</v>
      </c>
      <c r="E44" s="157">
        <f t="shared" si="31"/>
        <v>0.7997557997557998</v>
      </c>
      <c r="F44" s="157">
        <f t="shared" si="32"/>
        <v>0.20024420024420025</v>
      </c>
      <c r="G44" s="157"/>
      <c r="H44" s="157"/>
      <c r="I44" s="157"/>
      <c r="K44" s="155">
        <f t="shared" si="26"/>
        <v>313656.22710622713</v>
      </c>
      <c r="L44" s="155">
        <f t="shared" si="27"/>
        <v>78533.772893772897</v>
      </c>
      <c r="M44" s="155">
        <f t="shared" si="28"/>
        <v>0</v>
      </c>
      <c r="N44" s="155">
        <f t="shared" si="29"/>
        <v>0</v>
      </c>
      <c r="O44" s="155">
        <f t="shared" si="30"/>
        <v>0</v>
      </c>
      <c r="P44" s="174"/>
      <c r="Q44" s="156">
        <f t="shared" si="5"/>
        <v>0</v>
      </c>
    </row>
    <row r="45" spans="1:17" x14ac:dyDescent="0.2">
      <c r="A45" s="150" t="s">
        <v>192</v>
      </c>
      <c r="B45" s="152">
        <f>268046</f>
        <v>268046</v>
      </c>
      <c r="C45" s="153" t="s">
        <v>47</v>
      </c>
      <c r="D45">
        <v>4</v>
      </c>
      <c r="E45" s="157">
        <f t="shared" si="31"/>
        <v>0.7997557997557998</v>
      </c>
      <c r="F45" s="157">
        <f t="shared" si="32"/>
        <v>0.20024420024420025</v>
      </c>
      <c r="G45" s="157"/>
      <c r="H45" s="157"/>
      <c r="I45" s="157"/>
      <c r="K45" s="155">
        <f t="shared" si="26"/>
        <v>214371.34310134311</v>
      </c>
      <c r="L45" s="155">
        <f t="shared" si="27"/>
        <v>53674.656898656904</v>
      </c>
      <c r="M45" s="155">
        <f t="shared" si="28"/>
        <v>0</v>
      </c>
      <c r="N45" s="155">
        <f t="shared" si="29"/>
        <v>0</v>
      </c>
      <c r="O45" s="155">
        <f t="shared" si="30"/>
        <v>0</v>
      </c>
      <c r="P45" s="174"/>
      <c r="Q45" s="156">
        <f t="shared" si="5"/>
        <v>0</v>
      </c>
    </row>
    <row r="46" spans="1:17" x14ac:dyDescent="0.2">
      <c r="A46" s="150" t="s">
        <v>193</v>
      </c>
      <c r="B46" s="152">
        <f>248472</f>
        <v>248472</v>
      </c>
      <c r="C46" s="153" t="s">
        <v>46</v>
      </c>
      <c r="D46">
        <v>4</v>
      </c>
      <c r="E46" s="157">
        <f t="shared" si="31"/>
        <v>0.7997557997557998</v>
      </c>
      <c r="F46" s="157">
        <f t="shared" si="32"/>
        <v>0.20024420024420025</v>
      </c>
      <c r="G46" s="157"/>
      <c r="H46" s="157"/>
      <c r="I46" s="157"/>
      <c r="K46" s="155">
        <f t="shared" si="26"/>
        <v>198716.92307692309</v>
      </c>
      <c r="L46" s="155">
        <f t="shared" si="27"/>
        <v>49755.076923076929</v>
      </c>
      <c r="M46" s="155">
        <f t="shared" si="28"/>
        <v>0</v>
      </c>
      <c r="N46" s="155">
        <f t="shared" si="29"/>
        <v>0</v>
      </c>
      <c r="O46" s="155">
        <f t="shared" si="30"/>
        <v>0</v>
      </c>
      <c r="P46" s="174"/>
      <c r="Q46" s="156">
        <f t="shared" si="5"/>
        <v>0</v>
      </c>
    </row>
    <row r="47" spans="1:17" x14ac:dyDescent="0.2">
      <c r="A47" s="150" t="s">
        <v>194</v>
      </c>
      <c r="B47" s="152">
        <f>42436</f>
        <v>42436</v>
      </c>
      <c r="C47" s="153" t="s">
        <v>46</v>
      </c>
      <c r="D47">
        <v>1</v>
      </c>
      <c r="E47" s="157">
        <f t="shared" si="31"/>
        <v>0.7997557997557998</v>
      </c>
      <c r="F47" s="157">
        <f t="shared" si="32"/>
        <v>0.20024420024420025</v>
      </c>
      <c r="G47" s="157"/>
      <c r="H47" s="157"/>
      <c r="I47" s="157"/>
      <c r="K47" s="155">
        <f t="shared" si="26"/>
        <v>33938.437118437119</v>
      </c>
      <c r="L47" s="155">
        <f t="shared" si="27"/>
        <v>8497.5628815628825</v>
      </c>
      <c r="M47" s="155">
        <f t="shared" si="28"/>
        <v>0</v>
      </c>
      <c r="N47" s="155">
        <f t="shared" si="29"/>
        <v>0</v>
      </c>
      <c r="O47" s="155">
        <f t="shared" si="30"/>
        <v>0</v>
      </c>
      <c r="P47" s="174"/>
      <c r="Q47" s="156">
        <f t="shared" si="5"/>
        <v>0</v>
      </c>
    </row>
    <row r="48" spans="1:17" x14ac:dyDescent="0.2">
      <c r="A48" s="150" t="s">
        <v>195</v>
      </c>
      <c r="B48" s="152">
        <f>66931</f>
        <v>66931</v>
      </c>
      <c r="C48" s="153" t="s">
        <v>47</v>
      </c>
      <c r="D48">
        <v>2</v>
      </c>
      <c r="E48" s="157">
        <f t="shared" si="31"/>
        <v>0.7997557997557998</v>
      </c>
      <c r="F48" s="157">
        <f t="shared" si="32"/>
        <v>0.20024420024420025</v>
      </c>
      <c r="G48" s="157"/>
      <c r="H48" s="157"/>
      <c r="I48" s="157"/>
      <c r="K48" s="155">
        <f t="shared" si="26"/>
        <v>53528.455433455434</v>
      </c>
      <c r="L48" s="155">
        <f t="shared" si="27"/>
        <v>13402.544566544568</v>
      </c>
      <c r="M48" s="155">
        <f t="shared" si="28"/>
        <v>0</v>
      </c>
      <c r="N48" s="155">
        <f t="shared" si="29"/>
        <v>0</v>
      </c>
      <c r="O48" s="155">
        <f t="shared" si="30"/>
        <v>0</v>
      </c>
      <c r="P48" s="174"/>
      <c r="Q48" s="156">
        <f t="shared" si="5"/>
        <v>0</v>
      </c>
    </row>
    <row r="49" spans="1:17" x14ac:dyDescent="0.2">
      <c r="A49" s="150" t="s">
        <v>196</v>
      </c>
      <c r="B49" s="152">
        <f>40741.18</f>
        <v>40741.18</v>
      </c>
      <c r="C49" s="153" t="s">
        <v>40</v>
      </c>
      <c r="E49" s="157">
        <f t="shared" si="31"/>
        <v>0.7997557997557998</v>
      </c>
      <c r="F49" s="157">
        <f t="shared" si="32"/>
        <v>0.20024420024420025</v>
      </c>
      <c r="G49" s="157"/>
      <c r="H49" s="157"/>
      <c r="I49" s="157"/>
      <c r="K49" s="155">
        <f t="shared" si="26"/>
        <v>32582.994993894998</v>
      </c>
      <c r="L49" s="155">
        <f t="shared" si="27"/>
        <v>8158.1850061050063</v>
      </c>
      <c r="M49" s="155">
        <f t="shared" si="28"/>
        <v>0</v>
      </c>
      <c r="N49" s="155">
        <f t="shared" si="29"/>
        <v>0</v>
      </c>
      <c r="O49" s="155">
        <f t="shared" si="30"/>
        <v>0</v>
      </c>
      <c r="P49" s="174"/>
      <c r="Q49" s="156">
        <f t="shared" si="5"/>
        <v>0</v>
      </c>
    </row>
    <row r="50" spans="1:17" x14ac:dyDescent="0.2">
      <c r="A50" s="150" t="s">
        <v>197</v>
      </c>
      <c r="B50" s="152">
        <f>196232</f>
        <v>196232</v>
      </c>
      <c r="C50" s="153" t="s">
        <v>37</v>
      </c>
      <c r="D50">
        <v>3</v>
      </c>
      <c r="E50" s="157">
        <f t="shared" si="31"/>
        <v>0.7997557997557998</v>
      </c>
      <c r="F50" s="157">
        <f t="shared" si="32"/>
        <v>0.20024420024420025</v>
      </c>
      <c r="G50" s="157"/>
      <c r="H50" s="157"/>
      <c r="I50" s="157"/>
      <c r="K50" s="155">
        <f t="shared" si="26"/>
        <v>156937.6800976801</v>
      </c>
      <c r="L50" s="155">
        <f t="shared" si="27"/>
        <v>39294.319902319905</v>
      </c>
      <c r="M50" s="155">
        <f t="shared" si="28"/>
        <v>0</v>
      </c>
      <c r="N50" s="155">
        <f t="shared" si="29"/>
        <v>0</v>
      </c>
      <c r="O50" s="155">
        <f t="shared" si="30"/>
        <v>0</v>
      </c>
      <c r="P50" s="174"/>
      <c r="Q50" s="156">
        <f t="shared" si="5"/>
        <v>0</v>
      </c>
    </row>
    <row r="51" spans="1:17" x14ac:dyDescent="0.2">
      <c r="A51" s="150" t="s">
        <v>198</v>
      </c>
      <c r="B51" s="152">
        <f>64928</f>
        <v>64928</v>
      </c>
      <c r="C51" s="153" t="s">
        <v>47</v>
      </c>
      <c r="D51">
        <v>1</v>
      </c>
      <c r="E51" s="157">
        <f t="shared" si="31"/>
        <v>0.7997557997557998</v>
      </c>
      <c r="F51" s="157">
        <f t="shared" si="32"/>
        <v>0.20024420024420025</v>
      </c>
      <c r="G51" s="157"/>
      <c r="H51" s="157"/>
      <c r="I51" s="157"/>
      <c r="K51" s="155">
        <f t="shared" si="26"/>
        <v>51926.544566544566</v>
      </c>
      <c r="L51" s="155">
        <f t="shared" si="27"/>
        <v>13001.455433455434</v>
      </c>
      <c r="M51" s="155">
        <f t="shared" si="28"/>
        <v>0</v>
      </c>
      <c r="N51" s="155">
        <f t="shared" si="29"/>
        <v>0</v>
      </c>
      <c r="O51" s="155">
        <f t="shared" si="30"/>
        <v>0</v>
      </c>
      <c r="P51" s="174"/>
      <c r="Q51" s="156">
        <f t="shared" si="5"/>
        <v>0</v>
      </c>
    </row>
    <row r="52" spans="1:17" x14ac:dyDescent="0.2">
      <c r="A52" s="150" t="s">
        <v>199</v>
      </c>
      <c r="B52" s="152">
        <f>90637</f>
        <v>90637</v>
      </c>
      <c r="C52" s="153" t="s">
        <v>37</v>
      </c>
      <c r="D52">
        <v>2</v>
      </c>
      <c r="E52" s="157">
        <f t="shared" si="31"/>
        <v>0.7997557997557998</v>
      </c>
      <c r="F52" s="157">
        <f t="shared" si="32"/>
        <v>0.20024420024420025</v>
      </c>
      <c r="G52" s="157"/>
      <c r="H52" s="157"/>
      <c r="I52" s="157"/>
      <c r="K52" s="155">
        <f t="shared" si="26"/>
        <v>72487.46642246643</v>
      </c>
      <c r="L52" s="155">
        <f t="shared" si="27"/>
        <v>18149.533577533577</v>
      </c>
      <c r="M52" s="155">
        <f t="shared" si="28"/>
        <v>0</v>
      </c>
      <c r="N52" s="155">
        <f t="shared" si="29"/>
        <v>0</v>
      </c>
      <c r="O52" s="155">
        <f t="shared" si="30"/>
        <v>0</v>
      </c>
      <c r="P52" s="174"/>
      <c r="Q52" s="156">
        <f t="shared" si="5"/>
        <v>0</v>
      </c>
    </row>
    <row r="53" spans="1:17" x14ac:dyDescent="0.2">
      <c r="A53" s="150" t="s">
        <v>200</v>
      </c>
      <c r="B53" s="152">
        <f>92321</f>
        <v>92321</v>
      </c>
      <c r="C53" s="153" t="s">
        <v>37</v>
      </c>
      <c r="D53">
        <v>1</v>
      </c>
      <c r="E53" s="157">
        <f t="shared" si="31"/>
        <v>0.7997557997557998</v>
      </c>
      <c r="F53" s="157">
        <f t="shared" si="32"/>
        <v>0.20024420024420025</v>
      </c>
      <c r="G53" s="157"/>
      <c r="H53" s="157"/>
      <c r="I53" s="157"/>
      <c r="K53" s="155">
        <f t="shared" si="26"/>
        <v>73834.2551892552</v>
      </c>
      <c r="L53" s="155">
        <f t="shared" si="27"/>
        <v>18486.744810744811</v>
      </c>
      <c r="M53" s="155">
        <f t="shared" si="28"/>
        <v>0</v>
      </c>
      <c r="N53" s="155">
        <f t="shared" si="29"/>
        <v>0</v>
      </c>
      <c r="O53" s="155">
        <f t="shared" si="30"/>
        <v>0</v>
      </c>
      <c r="P53" s="174"/>
      <c r="Q53" s="156">
        <f t="shared" si="5"/>
        <v>0</v>
      </c>
    </row>
    <row r="54" spans="1:17" x14ac:dyDescent="0.2">
      <c r="A54" s="150" t="s">
        <v>201</v>
      </c>
      <c r="B54" s="152">
        <f>278450</f>
        <v>278450</v>
      </c>
      <c r="C54" s="153" t="s">
        <v>37</v>
      </c>
      <c r="D54">
        <v>3</v>
      </c>
      <c r="E54" s="157">
        <f t="shared" si="31"/>
        <v>0.7997557997557998</v>
      </c>
      <c r="F54" s="157">
        <f t="shared" si="32"/>
        <v>0.20024420024420025</v>
      </c>
      <c r="G54" s="157"/>
      <c r="H54" s="157"/>
      <c r="I54" s="157"/>
      <c r="K54" s="155">
        <f t="shared" si="26"/>
        <v>222692.00244200244</v>
      </c>
      <c r="L54" s="155">
        <f t="shared" si="27"/>
        <v>55757.997557997558</v>
      </c>
      <c r="M54" s="155">
        <f t="shared" si="28"/>
        <v>0</v>
      </c>
      <c r="N54" s="155">
        <f t="shared" si="29"/>
        <v>0</v>
      </c>
      <c r="O54" s="155">
        <f t="shared" si="30"/>
        <v>0</v>
      </c>
      <c r="P54" s="174"/>
      <c r="Q54" s="156">
        <f t="shared" si="5"/>
        <v>0</v>
      </c>
    </row>
    <row r="55" spans="1:17" x14ac:dyDescent="0.2">
      <c r="A55" s="150" t="s">
        <v>348</v>
      </c>
      <c r="B55" s="152">
        <f>70000</f>
        <v>70000</v>
      </c>
      <c r="C55" s="153" t="s">
        <v>37</v>
      </c>
      <c r="D55">
        <v>1</v>
      </c>
      <c r="E55" s="157">
        <f t="shared" si="31"/>
        <v>0.7997557997557998</v>
      </c>
      <c r="F55" s="157">
        <f t="shared" si="32"/>
        <v>0.20024420024420025</v>
      </c>
      <c r="G55" s="157"/>
      <c r="H55" s="157"/>
      <c r="I55" s="157"/>
      <c r="K55" s="155">
        <f t="shared" si="26"/>
        <v>55982.905982905984</v>
      </c>
      <c r="L55" s="155">
        <f t="shared" si="27"/>
        <v>14017.094017094018</v>
      </c>
      <c r="M55" s="155">
        <f t="shared" si="28"/>
        <v>0</v>
      </c>
      <c r="N55" s="155">
        <f t="shared" si="29"/>
        <v>0</v>
      </c>
      <c r="O55" s="155">
        <f t="shared" si="30"/>
        <v>0</v>
      </c>
      <c r="P55" s="174"/>
      <c r="Q55" s="156">
        <f t="shared" si="5"/>
        <v>0</v>
      </c>
    </row>
    <row r="56" spans="1:17" x14ac:dyDescent="0.2">
      <c r="A56" s="150" t="s">
        <v>202</v>
      </c>
      <c r="B56" s="152">
        <f>37132</f>
        <v>37132</v>
      </c>
      <c r="C56" s="153" t="s">
        <v>45</v>
      </c>
      <c r="D56">
        <v>1</v>
      </c>
      <c r="E56" s="157">
        <f t="shared" si="31"/>
        <v>0.7997557997557998</v>
      </c>
      <c r="F56" s="157">
        <f t="shared" si="32"/>
        <v>0.20024420024420025</v>
      </c>
      <c r="G56" s="157"/>
      <c r="H56" s="157"/>
      <c r="I56" s="157"/>
      <c r="K56" s="155">
        <f t="shared" si="26"/>
        <v>29696.53235653236</v>
      </c>
      <c r="L56" s="155">
        <f t="shared" si="27"/>
        <v>7435.4676434676439</v>
      </c>
      <c r="M56" s="155">
        <f t="shared" si="28"/>
        <v>0</v>
      </c>
      <c r="N56" s="155">
        <f t="shared" si="29"/>
        <v>0</v>
      </c>
      <c r="O56" s="155">
        <f t="shared" si="30"/>
        <v>0</v>
      </c>
      <c r="P56" s="174"/>
      <c r="Q56" s="156">
        <f t="shared" si="5"/>
        <v>0</v>
      </c>
    </row>
    <row r="57" spans="1:17" x14ac:dyDescent="0.2">
      <c r="A57" s="150" t="s">
        <v>203</v>
      </c>
      <c r="B57" s="152">
        <f>209528</f>
        <v>209528</v>
      </c>
      <c r="C57" s="153" t="s">
        <v>37</v>
      </c>
      <c r="D57">
        <v>2</v>
      </c>
      <c r="E57" s="157">
        <f t="shared" si="31"/>
        <v>0.7997557997557998</v>
      </c>
      <c r="F57" s="157">
        <f t="shared" si="32"/>
        <v>0.20024420024420025</v>
      </c>
      <c r="G57" s="157"/>
      <c r="H57" s="157"/>
      <c r="I57" s="157"/>
      <c r="K57" s="155">
        <f t="shared" si="26"/>
        <v>167571.23321123322</v>
      </c>
      <c r="L57" s="155">
        <f t="shared" si="27"/>
        <v>41956.766788766792</v>
      </c>
      <c r="M57" s="155">
        <f t="shared" si="28"/>
        <v>0</v>
      </c>
      <c r="N57" s="155">
        <f t="shared" si="29"/>
        <v>0</v>
      </c>
      <c r="O57" s="155">
        <f t="shared" si="30"/>
        <v>0</v>
      </c>
      <c r="P57" s="174"/>
      <c r="Q57" s="156">
        <f t="shared" si="5"/>
        <v>0</v>
      </c>
    </row>
    <row r="58" spans="1:17" ht="14.25" customHeight="1" x14ac:dyDescent="0.2">
      <c r="A58" s="150" t="s">
        <v>349</v>
      </c>
      <c r="B58" s="152">
        <f>80000</f>
        <v>80000</v>
      </c>
      <c r="C58" s="153" t="s">
        <v>37</v>
      </c>
      <c r="D58">
        <v>1</v>
      </c>
      <c r="E58" s="157">
        <f t="shared" si="31"/>
        <v>0.7997557997557998</v>
      </c>
      <c r="F58" s="157">
        <f t="shared" si="32"/>
        <v>0.20024420024420025</v>
      </c>
      <c r="G58" s="157"/>
      <c r="H58" s="157"/>
      <c r="I58" s="157"/>
      <c r="K58" s="155">
        <f t="shared" si="26"/>
        <v>63980.463980463981</v>
      </c>
      <c r="L58" s="155">
        <f t="shared" si="27"/>
        <v>16019.536019536021</v>
      </c>
      <c r="M58" s="155">
        <f t="shared" si="28"/>
        <v>0</v>
      </c>
      <c r="N58" s="155">
        <f t="shared" si="29"/>
        <v>0</v>
      </c>
      <c r="O58" s="155">
        <f t="shared" si="30"/>
        <v>0</v>
      </c>
      <c r="P58" s="174"/>
      <c r="Q58" s="156">
        <f t="shared" si="5"/>
        <v>0</v>
      </c>
    </row>
    <row r="59" spans="1:17" x14ac:dyDescent="0.2">
      <c r="A59" s="150" t="s">
        <v>204</v>
      </c>
      <c r="B59" s="152">
        <f>201575</f>
        <v>201575</v>
      </c>
      <c r="C59" s="153" t="s">
        <v>37</v>
      </c>
      <c r="D59">
        <v>2</v>
      </c>
      <c r="E59" s="157">
        <f t="shared" si="31"/>
        <v>0.7997557997557998</v>
      </c>
      <c r="F59" s="157">
        <f t="shared" si="32"/>
        <v>0.20024420024420025</v>
      </c>
      <c r="G59" s="157"/>
      <c r="H59" s="157"/>
      <c r="I59" s="157"/>
      <c r="K59" s="155">
        <f t="shared" si="26"/>
        <v>161210.77533577534</v>
      </c>
      <c r="L59" s="155">
        <f t="shared" si="27"/>
        <v>40364.224664224668</v>
      </c>
      <c r="M59" s="155">
        <f t="shared" si="28"/>
        <v>0</v>
      </c>
      <c r="N59" s="155">
        <f t="shared" si="29"/>
        <v>0</v>
      </c>
      <c r="O59" s="155">
        <f t="shared" si="30"/>
        <v>0</v>
      </c>
      <c r="P59" s="174"/>
      <c r="Q59" s="156">
        <f t="shared" si="5"/>
        <v>0</v>
      </c>
    </row>
    <row r="60" spans="1:17" x14ac:dyDescent="0.2">
      <c r="A60" s="150" t="s">
        <v>205</v>
      </c>
      <c r="B60" s="152">
        <f>168377</f>
        <v>168377</v>
      </c>
      <c r="C60" s="153" t="s">
        <v>37</v>
      </c>
      <c r="D60">
        <v>2</v>
      </c>
      <c r="E60" s="157">
        <f t="shared" si="31"/>
        <v>0.7997557997557998</v>
      </c>
      <c r="F60" s="157">
        <f t="shared" si="32"/>
        <v>0.20024420024420025</v>
      </c>
      <c r="G60" s="157"/>
      <c r="H60" s="157"/>
      <c r="I60" s="157"/>
      <c r="K60" s="155">
        <f t="shared" si="26"/>
        <v>134660.4822954823</v>
      </c>
      <c r="L60" s="155">
        <f t="shared" si="27"/>
        <v>33716.517704517704</v>
      </c>
      <c r="M60" s="155">
        <f t="shared" si="28"/>
        <v>0</v>
      </c>
      <c r="N60" s="155">
        <f t="shared" si="29"/>
        <v>0</v>
      </c>
      <c r="O60" s="155">
        <f t="shared" si="30"/>
        <v>0</v>
      </c>
      <c r="P60" s="174"/>
      <c r="Q60" s="156">
        <f t="shared" si="5"/>
        <v>0</v>
      </c>
    </row>
    <row r="61" spans="1:17" x14ac:dyDescent="0.2">
      <c r="A61" s="150" t="s">
        <v>206</v>
      </c>
      <c r="B61" s="152">
        <f>298885</f>
        <v>298885</v>
      </c>
      <c r="C61" s="153" t="s">
        <v>49</v>
      </c>
      <c r="D61">
        <v>4</v>
      </c>
      <c r="E61" s="157">
        <f t="shared" si="31"/>
        <v>0.7997557997557998</v>
      </c>
      <c r="F61" s="157">
        <f t="shared" si="32"/>
        <v>0.20024420024420025</v>
      </c>
      <c r="G61" s="157"/>
      <c r="H61" s="157"/>
      <c r="I61" s="157"/>
      <c r="K61" s="155">
        <f t="shared" si="26"/>
        <v>239035.01221001221</v>
      </c>
      <c r="L61" s="155">
        <f t="shared" si="27"/>
        <v>59849.98778998779</v>
      </c>
      <c r="M61" s="155">
        <f t="shared" si="28"/>
        <v>0</v>
      </c>
      <c r="N61" s="155">
        <f t="shared" si="29"/>
        <v>0</v>
      </c>
      <c r="O61" s="155">
        <f t="shared" si="30"/>
        <v>0</v>
      </c>
      <c r="P61" s="174"/>
      <c r="Q61" s="156">
        <f t="shared" si="5"/>
        <v>0</v>
      </c>
    </row>
    <row r="62" spans="1:17" x14ac:dyDescent="0.2">
      <c r="A62" s="150" t="s">
        <v>207</v>
      </c>
      <c r="B62" s="158">
        <f>(((((((((((((((((((((((((((B34)+(B35))+(B36))+(B37))+(B38))+(B39))+(B40))+(B41))+(B42))+(B43))+(B44))+(B45))+(B46))+(B47))+(B48))+(B49))+(B50))+(B51))+(B52))+(B53))+(B54))+(B55))+(B56))+(B57))+(B58))+(B59))+(B60))+(B61)</f>
        <v>7985594.1799999997</v>
      </c>
      <c r="E62" s="159" t="s">
        <v>165</v>
      </c>
      <c r="F62" s="159" t="s">
        <v>165</v>
      </c>
      <c r="G62" s="159" t="s">
        <v>165</v>
      </c>
      <c r="H62" s="159" t="s">
        <v>165</v>
      </c>
      <c r="I62" s="159" t="s">
        <v>165</v>
      </c>
      <c r="K62" s="159" t="s">
        <v>165</v>
      </c>
      <c r="L62" s="159" t="s">
        <v>165</v>
      </c>
      <c r="M62" s="159" t="s">
        <v>165</v>
      </c>
      <c r="N62" s="159" t="s">
        <v>165</v>
      </c>
      <c r="O62" s="159" t="s">
        <v>165</v>
      </c>
      <c r="P62" s="174"/>
      <c r="Q62" s="156">
        <f>SUM(K62:P62)-B62</f>
        <v>-7985594.1799999997</v>
      </c>
    </row>
    <row r="63" spans="1:17" x14ac:dyDescent="0.2">
      <c r="A63" s="150" t="s">
        <v>350</v>
      </c>
      <c r="B63" s="151"/>
      <c r="P63" s="174"/>
      <c r="Q63" s="156">
        <f t="shared" si="5"/>
        <v>0</v>
      </c>
    </row>
    <row r="64" spans="1:17" x14ac:dyDescent="0.2">
      <c r="A64" s="150" t="s">
        <v>208</v>
      </c>
      <c r="B64" s="152">
        <f>106000</f>
        <v>106000</v>
      </c>
      <c r="C64" s="153" t="s">
        <v>39</v>
      </c>
      <c r="D64">
        <v>1</v>
      </c>
      <c r="E64" s="154"/>
      <c r="F64" s="154"/>
      <c r="G64" s="154"/>
      <c r="H64" s="154"/>
      <c r="I64" s="154">
        <v>1</v>
      </c>
      <c r="K64" s="155">
        <f t="shared" ref="K64:K74" si="33">B64*E64</f>
        <v>0</v>
      </c>
      <c r="L64" s="155">
        <f t="shared" ref="L64:L77" si="34">B64*F64</f>
        <v>0</v>
      </c>
      <c r="M64" s="155">
        <f t="shared" ref="M64:M77" si="35">B64*G64</f>
        <v>0</v>
      </c>
      <c r="N64" s="155">
        <f t="shared" ref="N64:N77" si="36">B64*H64</f>
        <v>0</v>
      </c>
      <c r="O64" s="155">
        <f t="shared" ref="O64:O77" si="37">B64*I64</f>
        <v>106000</v>
      </c>
      <c r="P64" s="174"/>
      <c r="Q64" s="156">
        <f t="shared" si="5"/>
        <v>0</v>
      </c>
    </row>
    <row r="65" spans="1:17" x14ac:dyDescent="0.2">
      <c r="A65" s="150" t="s">
        <v>209</v>
      </c>
      <c r="B65" s="152">
        <f>114500</f>
        <v>114500</v>
      </c>
      <c r="C65" s="153" t="s">
        <v>38</v>
      </c>
      <c r="D65">
        <v>1</v>
      </c>
      <c r="E65" s="154"/>
      <c r="F65" s="154"/>
      <c r="G65" s="154"/>
      <c r="H65" s="154"/>
      <c r="I65" s="154">
        <v>1</v>
      </c>
      <c r="K65" s="155">
        <f t="shared" si="33"/>
        <v>0</v>
      </c>
      <c r="L65" s="155">
        <f t="shared" si="34"/>
        <v>0</v>
      </c>
      <c r="M65" s="155">
        <f t="shared" si="35"/>
        <v>0</v>
      </c>
      <c r="N65" s="155">
        <f t="shared" si="36"/>
        <v>0</v>
      </c>
      <c r="O65" s="155">
        <f t="shared" si="37"/>
        <v>114500</v>
      </c>
      <c r="P65" s="174"/>
      <c r="Q65" s="156">
        <f t="shared" si="5"/>
        <v>0</v>
      </c>
    </row>
    <row r="66" spans="1:17" x14ac:dyDescent="0.2">
      <c r="A66" s="150" t="s">
        <v>210</v>
      </c>
      <c r="B66" s="152">
        <f>132407</f>
        <v>132407</v>
      </c>
      <c r="C66" s="153" t="s">
        <v>39</v>
      </c>
      <c r="D66">
        <v>2</v>
      </c>
      <c r="E66" s="154"/>
      <c r="F66" s="154"/>
      <c r="G66" s="154"/>
      <c r="H66" s="154"/>
      <c r="I66" s="154">
        <v>1</v>
      </c>
      <c r="K66" s="155">
        <f t="shared" si="33"/>
        <v>0</v>
      </c>
      <c r="L66" s="155">
        <f t="shared" si="34"/>
        <v>0</v>
      </c>
      <c r="M66" s="155">
        <f t="shared" si="35"/>
        <v>0</v>
      </c>
      <c r="N66" s="155">
        <f t="shared" si="36"/>
        <v>0</v>
      </c>
      <c r="O66" s="155">
        <f t="shared" si="37"/>
        <v>132407</v>
      </c>
      <c r="P66" s="174"/>
      <c r="Q66" s="156">
        <f t="shared" si="5"/>
        <v>0</v>
      </c>
    </row>
    <row r="67" spans="1:17" x14ac:dyDescent="0.2">
      <c r="A67" s="150" t="s">
        <v>211</v>
      </c>
      <c r="B67" s="152">
        <f>115000</f>
        <v>115000</v>
      </c>
      <c r="C67" s="153" t="s">
        <v>40</v>
      </c>
      <c r="D67">
        <v>2</v>
      </c>
      <c r="E67" s="154"/>
      <c r="F67" s="154"/>
      <c r="G67" s="154"/>
      <c r="H67" s="154"/>
      <c r="I67" s="154">
        <v>1</v>
      </c>
      <c r="K67" s="155">
        <f t="shared" si="33"/>
        <v>0</v>
      </c>
      <c r="L67" s="155">
        <f t="shared" si="34"/>
        <v>0</v>
      </c>
      <c r="M67" s="155">
        <f t="shared" si="35"/>
        <v>0</v>
      </c>
      <c r="N67" s="155">
        <f t="shared" si="36"/>
        <v>0</v>
      </c>
      <c r="O67" s="155">
        <f t="shared" si="37"/>
        <v>115000</v>
      </c>
      <c r="P67" s="174"/>
      <c r="Q67" s="156">
        <f t="shared" si="5"/>
        <v>0</v>
      </c>
    </row>
    <row r="68" spans="1:17" x14ac:dyDescent="0.2">
      <c r="A68" s="150" t="s">
        <v>212</v>
      </c>
      <c r="B68" s="152">
        <f>56350</f>
        <v>56350</v>
      </c>
      <c r="C68" s="153" t="s">
        <v>213</v>
      </c>
      <c r="D68">
        <v>0.7</v>
      </c>
      <c r="E68" s="154"/>
      <c r="F68" s="154"/>
      <c r="G68" s="154"/>
      <c r="H68" s="154"/>
      <c r="I68" s="154">
        <v>1</v>
      </c>
      <c r="K68" s="155">
        <f t="shared" si="33"/>
        <v>0</v>
      </c>
      <c r="L68" s="155">
        <f t="shared" si="34"/>
        <v>0</v>
      </c>
      <c r="M68" s="155">
        <f t="shared" si="35"/>
        <v>0</v>
      </c>
      <c r="N68" s="155">
        <f t="shared" si="36"/>
        <v>0</v>
      </c>
      <c r="O68" s="155">
        <f t="shared" si="37"/>
        <v>56350</v>
      </c>
      <c r="P68" s="174"/>
      <c r="Q68" s="156">
        <f t="shared" si="5"/>
        <v>0</v>
      </c>
    </row>
    <row r="69" spans="1:17" x14ac:dyDescent="0.2">
      <c r="A69" s="150" t="s">
        <v>214</v>
      </c>
      <c r="B69" s="152">
        <f>122400</f>
        <v>122400</v>
      </c>
      <c r="C69" s="153" t="s">
        <v>54</v>
      </c>
      <c r="D69">
        <v>4</v>
      </c>
      <c r="E69" s="154"/>
      <c r="F69" s="154"/>
      <c r="G69" s="154"/>
      <c r="H69" s="154"/>
      <c r="I69" s="154">
        <v>1</v>
      </c>
      <c r="K69" s="155">
        <f t="shared" si="33"/>
        <v>0</v>
      </c>
      <c r="L69" s="155">
        <f t="shared" si="34"/>
        <v>0</v>
      </c>
      <c r="M69" s="155">
        <f t="shared" si="35"/>
        <v>0</v>
      </c>
      <c r="N69" s="155">
        <f t="shared" si="36"/>
        <v>0</v>
      </c>
      <c r="O69" s="155">
        <f t="shared" si="37"/>
        <v>122400</v>
      </c>
      <c r="P69" s="174"/>
      <c r="Q69" s="156"/>
    </row>
    <row r="70" spans="1:17" x14ac:dyDescent="0.2">
      <c r="A70" s="150" t="s">
        <v>215</v>
      </c>
      <c r="B70" s="152">
        <f>68500</f>
        <v>68500</v>
      </c>
      <c r="C70" s="153" t="s">
        <v>55</v>
      </c>
      <c r="D70">
        <v>2</v>
      </c>
      <c r="E70" s="154"/>
      <c r="F70" s="154"/>
      <c r="G70" s="154"/>
      <c r="H70" s="154"/>
      <c r="I70" s="154">
        <v>1</v>
      </c>
      <c r="K70" s="155">
        <f t="shared" si="33"/>
        <v>0</v>
      </c>
      <c r="L70" s="155">
        <f t="shared" si="34"/>
        <v>0</v>
      </c>
      <c r="M70" s="155">
        <f t="shared" si="35"/>
        <v>0</v>
      </c>
      <c r="N70" s="155">
        <f t="shared" si="36"/>
        <v>0</v>
      </c>
      <c r="O70" s="155">
        <f t="shared" si="37"/>
        <v>68500</v>
      </c>
      <c r="P70" s="174"/>
      <c r="Q70" s="156"/>
    </row>
    <row r="71" spans="1:17" x14ac:dyDescent="0.2">
      <c r="A71" s="150" t="s">
        <v>216</v>
      </c>
      <c r="B71" s="152">
        <f>126657</f>
        <v>126657</v>
      </c>
      <c r="C71" s="153" t="s">
        <v>40</v>
      </c>
      <c r="D71">
        <v>3</v>
      </c>
      <c r="E71" s="154"/>
      <c r="F71" s="154"/>
      <c r="G71" s="154"/>
      <c r="H71" s="154"/>
      <c r="I71" s="154">
        <v>1</v>
      </c>
      <c r="K71" s="155">
        <f t="shared" si="33"/>
        <v>0</v>
      </c>
      <c r="L71" s="155">
        <f t="shared" si="34"/>
        <v>0</v>
      </c>
      <c r="M71" s="155">
        <f t="shared" si="35"/>
        <v>0</v>
      </c>
      <c r="N71" s="155">
        <f t="shared" si="36"/>
        <v>0</v>
      </c>
      <c r="O71" s="155">
        <f t="shared" si="37"/>
        <v>126657</v>
      </c>
      <c r="P71" s="174"/>
      <c r="Q71" s="156"/>
    </row>
    <row r="72" spans="1:17" x14ac:dyDescent="0.2">
      <c r="A72" s="150" t="s">
        <v>217</v>
      </c>
      <c r="B72" s="152">
        <f>48410</f>
        <v>48410</v>
      </c>
      <c r="C72" s="153" t="s">
        <v>37</v>
      </c>
      <c r="D72">
        <v>1</v>
      </c>
      <c r="E72" s="154"/>
      <c r="F72" s="154"/>
      <c r="G72" s="154"/>
      <c r="H72" s="154"/>
      <c r="I72" s="154">
        <v>1</v>
      </c>
      <c r="K72" s="155">
        <f t="shared" si="33"/>
        <v>0</v>
      </c>
      <c r="L72" s="155">
        <f t="shared" si="34"/>
        <v>0</v>
      </c>
      <c r="M72" s="155">
        <f t="shared" si="35"/>
        <v>0</v>
      </c>
      <c r="N72" s="155">
        <f t="shared" si="36"/>
        <v>0</v>
      </c>
      <c r="O72" s="155">
        <f t="shared" si="37"/>
        <v>48410</v>
      </c>
      <c r="P72" s="174"/>
      <c r="Q72" s="156">
        <f t="shared" si="5"/>
        <v>0</v>
      </c>
    </row>
    <row r="73" spans="1:17" x14ac:dyDescent="0.2">
      <c r="A73" s="150" t="s">
        <v>218</v>
      </c>
      <c r="B73" s="152">
        <f>60000</f>
        <v>60000</v>
      </c>
      <c r="C73" s="153" t="s">
        <v>37</v>
      </c>
      <c r="D73">
        <v>1</v>
      </c>
      <c r="E73" s="154"/>
      <c r="F73" s="154"/>
      <c r="G73" s="154"/>
      <c r="H73" s="154"/>
      <c r="I73" s="154">
        <v>1</v>
      </c>
      <c r="K73" s="155">
        <f t="shared" si="33"/>
        <v>0</v>
      </c>
      <c r="L73" s="155">
        <f t="shared" si="34"/>
        <v>0</v>
      </c>
      <c r="M73" s="155">
        <f t="shared" si="35"/>
        <v>0</v>
      </c>
      <c r="N73" s="155">
        <f t="shared" si="36"/>
        <v>0</v>
      </c>
      <c r="O73" s="155">
        <f t="shared" si="37"/>
        <v>60000</v>
      </c>
      <c r="P73" s="174"/>
      <c r="Q73" s="156">
        <f t="shared" si="5"/>
        <v>0</v>
      </c>
    </row>
    <row r="74" spans="1:17" x14ac:dyDescent="0.2">
      <c r="A74" s="150" t="s">
        <v>219</v>
      </c>
      <c r="B74" s="152">
        <f>75000</f>
        <v>75000</v>
      </c>
      <c r="C74" s="153" t="s">
        <v>40</v>
      </c>
      <c r="D74">
        <v>1</v>
      </c>
      <c r="E74" s="154"/>
      <c r="F74" s="154"/>
      <c r="G74" s="154"/>
      <c r="H74" s="154"/>
      <c r="I74" s="154">
        <v>1</v>
      </c>
      <c r="K74" s="155">
        <f t="shared" si="33"/>
        <v>0</v>
      </c>
      <c r="L74" s="155">
        <f t="shared" si="34"/>
        <v>0</v>
      </c>
      <c r="M74" s="155">
        <f t="shared" si="35"/>
        <v>0</v>
      </c>
      <c r="N74" s="155">
        <f t="shared" si="36"/>
        <v>0</v>
      </c>
      <c r="O74" s="155">
        <f t="shared" si="37"/>
        <v>75000</v>
      </c>
      <c r="P74" s="174"/>
      <c r="Q74" s="156">
        <f t="shared" si="5"/>
        <v>0</v>
      </c>
    </row>
    <row r="75" spans="1:17" x14ac:dyDescent="0.2">
      <c r="A75" s="150" t="s">
        <v>220</v>
      </c>
      <c r="B75" s="152">
        <f>61285</f>
        <v>61285</v>
      </c>
      <c r="C75" s="153" t="s">
        <v>37</v>
      </c>
      <c r="D75">
        <v>0.7</v>
      </c>
      <c r="E75" s="154"/>
      <c r="F75" s="154"/>
      <c r="G75" s="154"/>
      <c r="H75" s="154"/>
      <c r="I75" s="154">
        <v>1</v>
      </c>
      <c r="K75" s="155">
        <f>B75*E75</f>
        <v>0</v>
      </c>
      <c r="L75" s="155">
        <f t="shared" si="34"/>
        <v>0</v>
      </c>
      <c r="M75" s="155">
        <f t="shared" si="35"/>
        <v>0</v>
      </c>
      <c r="N75" s="155">
        <f t="shared" si="36"/>
        <v>0</v>
      </c>
      <c r="O75" s="155">
        <f t="shared" si="37"/>
        <v>61285</v>
      </c>
      <c r="P75" s="174"/>
      <c r="Q75" s="156">
        <f t="shared" si="5"/>
        <v>0</v>
      </c>
    </row>
    <row r="76" spans="1:17" x14ac:dyDescent="0.2">
      <c r="A76" s="150" t="s">
        <v>221</v>
      </c>
      <c r="B76" s="152">
        <f>43750</f>
        <v>43750</v>
      </c>
      <c r="C76" s="153" t="s">
        <v>40</v>
      </c>
      <c r="D76">
        <v>0.7</v>
      </c>
      <c r="E76" s="154"/>
      <c r="F76" s="154"/>
      <c r="G76" s="154"/>
      <c r="H76" s="154"/>
      <c r="I76" s="154">
        <v>1</v>
      </c>
      <c r="K76" s="155">
        <f>B76*E76</f>
        <v>0</v>
      </c>
      <c r="L76" s="155">
        <f t="shared" si="34"/>
        <v>0</v>
      </c>
      <c r="M76" s="155">
        <f t="shared" si="35"/>
        <v>0</v>
      </c>
      <c r="N76" s="155">
        <f t="shared" si="36"/>
        <v>0</v>
      </c>
      <c r="O76" s="155">
        <f t="shared" si="37"/>
        <v>43750</v>
      </c>
      <c r="P76" s="174"/>
      <c r="Q76" s="156"/>
    </row>
    <row r="77" spans="1:17" x14ac:dyDescent="0.2">
      <c r="A77" s="150" t="s">
        <v>222</v>
      </c>
      <c r="B77" s="152">
        <f>43260</f>
        <v>43260</v>
      </c>
      <c r="C77" s="153" t="s">
        <v>40</v>
      </c>
      <c r="D77">
        <v>1</v>
      </c>
      <c r="E77" s="154"/>
      <c r="F77" s="154"/>
      <c r="G77" s="154"/>
      <c r="H77" s="154"/>
      <c r="I77" s="154">
        <v>1</v>
      </c>
      <c r="K77" s="155">
        <f>B77*E77</f>
        <v>0</v>
      </c>
      <c r="L77" s="155">
        <f t="shared" si="34"/>
        <v>0</v>
      </c>
      <c r="M77" s="155">
        <f t="shared" si="35"/>
        <v>0</v>
      </c>
      <c r="N77" s="155">
        <f t="shared" si="36"/>
        <v>0</v>
      </c>
      <c r="O77" s="155">
        <f t="shared" si="37"/>
        <v>43260</v>
      </c>
      <c r="P77" s="174"/>
      <c r="Q77" s="156"/>
    </row>
    <row r="78" spans="1:17" x14ac:dyDescent="0.2">
      <c r="A78" s="150" t="s">
        <v>351</v>
      </c>
      <c r="B78" s="152">
        <f>44450</f>
        <v>44450</v>
      </c>
      <c r="C78" s="153" t="s">
        <v>40</v>
      </c>
      <c r="D78">
        <v>0.7</v>
      </c>
      <c r="E78" s="154"/>
      <c r="F78" s="154"/>
      <c r="G78" s="154"/>
      <c r="H78" s="154"/>
      <c r="I78" s="154">
        <v>1</v>
      </c>
      <c r="K78" s="155">
        <f t="shared" ref="K78:K81" si="38">B78*E78</f>
        <v>0</v>
      </c>
      <c r="L78" s="155">
        <f t="shared" ref="L78:L81" si="39">B78*F78</f>
        <v>0</v>
      </c>
      <c r="M78" s="155">
        <f t="shared" ref="M78:M81" si="40">B78*G78</f>
        <v>0</v>
      </c>
      <c r="N78" s="155">
        <f t="shared" ref="N78:N81" si="41">B78*H78</f>
        <v>0</v>
      </c>
      <c r="O78" s="155">
        <f t="shared" ref="O78:O81" si="42">B78*I78</f>
        <v>44450</v>
      </c>
      <c r="P78" s="174"/>
      <c r="Q78" s="156"/>
    </row>
    <row r="79" spans="1:17" x14ac:dyDescent="0.2">
      <c r="A79" s="150" t="s">
        <v>352</v>
      </c>
      <c r="B79" s="152">
        <f>58500</f>
        <v>58500</v>
      </c>
      <c r="C79" s="153" t="s">
        <v>40</v>
      </c>
      <c r="D79">
        <v>1</v>
      </c>
      <c r="E79" s="154"/>
      <c r="F79" s="154"/>
      <c r="G79" s="154"/>
      <c r="H79" s="154"/>
      <c r="I79" s="154">
        <v>1</v>
      </c>
      <c r="K79" s="155">
        <f t="shared" si="38"/>
        <v>0</v>
      </c>
      <c r="L79" s="155">
        <f t="shared" si="39"/>
        <v>0</v>
      </c>
      <c r="M79" s="155">
        <f t="shared" si="40"/>
        <v>0</v>
      </c>
      <c r="N79" s="155">
        <f t="shared" si="41"/>
        <v>0</v>
      </c>
      <c r="O79" s="155">
        <f t="shared" si="42"/>
        <v>58500</v>
      </c>
      <c r="P79" s="174"/>
      <c r="Q79" s="156"/>
    </row>
    <row r="80" spans="1:17" x14ac:dyDescent="0.2">
      <c r="A80" s="150" t="s">
        <v>353</v>
      </c>
      <c r="B80" s="152">
        <f>38500</f>
        <v>38500</v>
      </c>
      <c r="C80" s="153" t="s">
        <v>40</v>
      </c>
      <c r="D80">
        <v>1</v>
      </c>
      <c r="E80" s="154"/>
      <c r="F80" s="154"/>
      <c r="G80" s="154"/>
      <c r="H80" s="154"/>
      <c r="I80" s="154">
        <v>1</v>
      </c>
      <c r="K80" s="155">
        <f t="shared" si="38"/>
        <v>0</v>
      </c>
      <c r="L80" s="155">
        <f t="shared" si="39"/>
        <v>0</v>
      </c>
      <c r="M80" s="155">
        <f t="shared" si="40"/>
        <v>0</v>
      </c>
      <c r="N80" s="155">
        <f t="shared" si="41"/>
        <v>0</v>
      </c>
      <c r="O80" s="155">
        <f t="shared" si="42"/>
        <v>38500</v>
      </c>
      <c r="P80" s="174"/>
      <c r="Q80" s="156"/>
    </row>
    <row r="81" spans="1:17" x14ac:dyDescent="0.2">
      <c r="A81" s="150" t="s">
        <v>354</v>
      </c>
      <c r="B81" s="152">
        <f>35000</f>
        <v>35000</v>
      </c>
      <c r="C81" s="153" t="s">
        <v>40</v>
      </c>
      <c r="D81">
        <v>1</v>
      </c>
      <c r="E81" s="154"/>
      <c r="F81" s="154"/>
      <c r="G81" s="154"/>
      <c r="H81" s="154"/>
      <c r="I81" s="154">
        <v>1</v>
      </c>
      <c r="K81" s="155">
        <f t="shared" si="38"/>
        <v>0</v>
      </c>
      <c r="L81" s="155">
        <f t="shared" si="39"/>
        <v>0</v>
      </c>
      <c r="M81" s="155">
        <f t="shared" si="40"/>
        <v>0</v>
      </c>
      <c r="N81" s="155">
        <f t="shared" si="41"/>
        <v>0</v>
      </c>
      <c r="O81" s="155">
        <f t="shared" si="42"/>
        <v>35000</v>
      </c>
      <c r="P81" s="174"/>
      <c r="Q81" s="156"/>
    </row>
    <row r="82" spans="1:17" x14ac:dyDescent="0.2">
      <c r="A82" s="150" t="s">
        <v>223</v>
      </c>
      <c r="B82" s="158">
        <f>((((((((((((((((((B63)+(B64))+(B65))+(B66))+(B67))+(B68))+(B69))+(B70))+(B71))+(B72))+(B73))+(B74))+(B75))+(B76))+(B77))+(B78))+(B79))+(B80))+(B81)</f>
        <v>1349969</v>
      </c>
      <c r="E82" s="159" t="s">
        <v>165</v>
      </c>
      <c r="F82" s="159" t="s">
        <v>165</v>
      </c>
      <c r="G82" s="159" t="s">
        <v>165</v>
      </c>
      <c r="H82" s="159" t="s">
        <v>165</v>
      </c>
      <c r="I82" s="159" t="s">
        <v>165</v>
      </c>
      <c r="K82" s="159" t="s">
        <v>165</v>
      </c>
      <c r="L82" s="159" t="s">
        <v>165</v>
      </c>
      <c r="M82" s="159" t="s">
        <v>165</v>
      </c>
      <c r="N82" s="159" t="s">
        <v>165</v>
      </c>
      <c r="O82" s="159" t="s">
        <v>165</v>
      </c>
      <c r="P82" s="174"/>
      <c r="Q82" s="156">
        <f t="shared" si="5"/>
        <v>-1349969</v>
      </c>
    </row>
    <row r="83" spans="1:17" x14ac:dyDescent="0.2">
      <c r="A83" s="150" t="s">
        <v>224</v>
      </c>
      <c r="B83" s="151"/>
      <c r="P83" s="174"/>
      <c r="Q83" s="156">
        <f t="shared" si="5"/>
        <v>0</v>
      </c>
    </row>
    <row r="84" spans="1:17" x14ac:dyDescent="0.2">
      <c r="A84" s="150" t="s">
        <v>225</v>
      </c>
      <c r="B84" s="152">
        <f>55000</f>
        <v>55000</v>
      </c>
      <c r="C84" s="153" t="s">
        <v>226</v>
      </c>
      <c r="E84" s="157">
        <f>$H$3</f>
        <v>0.7997557997557998</v>
      </c>
      <c r="F84" s="157">
        <f>$I$3</f>
        <v>0.20024420024420025</v>
      </c>
      <c r="G84" s="157"/>
      <c r="H84" s="157"/>
      <c r="I84" s="157"/>
      <c r="K84" s="155">
        <f t="shared" ref="K84:K86" si="43">B84*E84</f>
        <v>43986.568986568986</v>
      </c>
      <c r="L84" s="155">
        <f t="shared" ref="L84:L87" si="44">B84*F84</f>
        <v>11013.431013431014</v>
      </c>
      <c r="M84" s="155">
        <f t="shared" ref="M84:M87" si="45">B84*G84</f>
        <v>0</v>
      </c>
      <c r="N84" s="155">
        <f t="shared" ref="N84:N87" si="46">B84*H84</f>
        <v>0</v>
      </c>
      <c r="O84" s="155">
        <f t="shared" ref="O84:O87" si="47">B84*I84</f>
        <v>0</v>
      </c>
      <c r="P84" s="174"/>
      <c r="Q84" s="156"/>
    </row>
    <row r="85" spans="1:17" x14ac:dyDescent="0.2">
      <c r="A85" s="150" t="s">
        <v>227</v>
      </c>
      <c r="B85" s="152">
        <f>100000</f>
        <v>100000</v>
      </c>
      <c r="C85" s="153" t="s">
        <v>226</v>
      </c>
      <c r="E85" s="157">
        <f>$H$3</f>
        <v>0.7997557997557998</v>
      </c>
      <c r="F85" s="157">
        <f>$I$3</f>
        <v>0.20024420024420025</v>
      </c>
      <c r="G85" s="157"/>
      <c r="H85" s="157"/>
      <c r="I85" s="157"/>
      <c r="K85" s="155">
        <f t="shared" si="43"/>
        <v>79975.579975579982</v>
      </c>
      <c r="L85" s="155">
        <f t="shared" si="44"/>
        <v>20024.420024420026</v>
      </c>
      <c r="M85" s="155">
        <f t="shared" si="45"/>
        <v>0</v>
      </c>
      <c r="N85" s="155">
        <f t="shared" si="46"/>
        <v>0</v>
      </c>
      <c r="O85" s="155">
        <f t="shared" si="47"/>
        <v>0</v>
      </c>
      <c r="P85" s="174"/>
      <c r="Q85" s="156"/>
    </row>
    <row r="86" spans="1:17" x14ac:dyDescent="0.2">
      <c r="A86" s="150" t="s">
        <v>355</v>
      </c>
      <c r="B86" s="152">
        <f>5000</f>
        <v>5000</v>
      </c>
      <c r="C86" s="153" t="s">
        <v>226</v>
      </c>
      <c r="E86" s="154"/>
      <c r="F86" s="154"/>
      <c r="G86" s="154"/>
      <c r="H86" s="154"/>
      <c r="I86" s="154">
        <v>1</v>
      </c>
      <c r="K86" s="155">
        <f t="shared" si="43"/>
        <v>0</v>
      </c>
      <c r="L86" s="155">
        <f t="shared" si="44"/>
        <v>0</v>
      </c>
      <c r="M86" s="155">
        <f t="shared" si="45"/>
        <v>0</v>
      </c>
      <c r="N86" s="155">
        <f t="shared" si="46"/>
        <v>0</v>
      </c>
      <c r="O86" s="155">
        <f t="shared" si="47"/>
        <v>5000</v>
      </c>
      <c r="P86" s="174"/>
      <c r="Q86" s="156"/>
    </row>
    <row r="87" spans="1:17" x14ac:dyDescent="0.2">
      <c r="A87" s="150" t="s">
        <v>228</v>
      </c>
      <c r="B87" s="152">
        <f>10000</f>
        <v>10000</v>
      </c>
      <c r="C87" s="153" t="s">
        <v>226</v>
      </c>
      <c r="E87" s="157">
        <f>$H$3</f>
        <v>0.7997557997557998</v>
      </c>
      <c r="F87" s="157">
        <f>$I$3</f>
        <v>0.20024420024420025</v>
      </c>
      <c r="G87" s="157"/>
      <c r="H87" s="157"/>
      <c r="I87" s="157"/>
      <c r="K87" s="155">
        <f>B87*E87</f>
        <v>7997.5579975579976</v>
      </c>
      <c r="L87" s="155">
        <f t="shared" si="44"/>
        <v>2002.4420024420026</v>
      </c>
      <c r="M87" s="155">
        <f t="shared" si="45"/>
        <v>0</v>
      </c>
      <c r="N87" s="155">
        <f t="shared" si="46"/>
        <v>0</v>
      </c>
      <c r="O87" s="155">
        <f t="shared" si="47"/>
        <v>0</v>
      </c>
      <c r="P87" s="174"/>
      <c r="Q87" s="156">
        <f t="shared" si="5"/>
        <v>0</v>
      </c>
    </row>
    <row r="88" spans="1:17" x14ac:dyDescent="0.2">
      <c r="A88" s="150" t="s">
        <v>356</v>
      </c>
      <c r="B88" s="158">
        <f>((((B83)+(B84))+(B85))+(B86))+(B87)</f>
        <v>170000</v>
      </c>
      <c r="E88" s="159" t="s">
        <v>165</v>
      </c>
      <c r="F88" s="159" t="s">
        <v>165</v>
      </c>
      <c r="G88" s="159" t="s">
        <v>165</v>
      </c>
      <c r="H88" s="159" t="s">
        <v>165</v>
      </c>
      <c r="I88" s="159" t="s">
        <v>165</v>
      </c>
      <c r="K88" s="159" t="s">
        <v>165</v>
      </c>
      <c r="L88" s="159" t="s">
        <v>165</v>
      </c>
      <c r="M88" s="159" t="s">
        <v>165</v>
      </c>
      <c r="N88" s="159" t="s">
        <v>165</v>
      </c>
      <c r="O88" s="159" t="s">
        <v>165</v>
      </c>
      <c r="P88" s="174"/>
      <c r="Q88" s="156">
        <f t="shared" si="5"/>
        <v>-170000</v>
      </c>
    </row>
    <row r="89" spans="1:17" x14ac:dyDescent="0.2">
      <c r="A89" s="162" t="s">
        <v>229</v>
      </c>
      <c r="B89" s="163">
        <f>B88+B82+B62</f>
        <v>9505563.1799999997</v>
      </c>
      <c r="C89" s="153"/>
      <c r="D89" s="143"/>
      <c r="E89" s="143"/>
      <c r="F89" s="143"/>
      <c r="G89" s="143"/>
      <c r="H89" s="143"/>
      <c r="I89" s="143"/>
      <c r="J89" s="143"/>
      <c r="K89" s="163">
        <f>SUM(K35:K88)</f>
        <v>6421488.8841880364</v>
      </c>
      <c r="L89" s="163">
        <f>SUM(L35:L88)</f>
        <v>1567181.5458119663</v>
      </c>
      <c r="M89" s="163">
        <f>SUM(M35:M88)</f>
        <v>0</v>
      </c>
      <c r="N89" s="163">
        <f>SUM(N35:N88)</f>
        <v>0</v>
      </c>
      <c r="O89" s="163">
        <f>SUM(O35:O88)</f>
        <v>1516892.75</v>
      </c>
      <c r="P89" s="174"/>
      <c r="Q89" s="156">
        <f t="shared" si="5"/>
        <v>0</v>
      </c>
    </row>
    <row r="90" spans="1:17" x14ac:dyDescent="0.2">
      <c r="A90" s="150" t="s">
        <v>230</v>
      </c>
      <c r="B90" s="151"/>
      <c r="P90" s="174"/>
      <c r="Q90" s="156">
        <f t="shared" si="5"/>
        <v>0</v>
      </c>
    </row>
    <row r="91" spans="1:17" x14ac:dyDescent="0.2">
      <c r="A91" s="150" t="s">
        <v>231</v>
      </c>
      <c r="B91" s="152">
        <f>67456</f>
        <v>67456</v>
      </c>
      <c r="C91" s="153" t="s">
        <v>59</v>
      </c>
      <c r="E91" s="161">
        <f t="shared" ref="E91:E100" si="48">$K$3</f>
        <v>0.67555059732799927</v>
      </c>
      <c r="F91" s="161">
        <f t="shared" ref="F91:F100" si="49">$L$3</f>
        <v>0.16486993102201086</v>
      </c>
      <c r="G91" s="161">
        <f t="shared" ref="G91:G100" si="50">$M$3</f>
        <v>0</v>
      </c>
      <c r="H91" s="161">
        <f t="shared" ref="H91:H100" si="51">$N$3</f>
        <v>0</v>
      </c>
      <c r="I91" s="161">
        <f t="shared" ref="I91:I100" si="52">$O$3</f>
        <v>0.15957947164999015</v>
      </c>
      <c r="K91" s="155">
        <f t="shared" ref="K91:K100" si="53">B91*E91</f>
        <v>45569.94109335752</v>
      </c>
      <c r="L91" s="155">
        <f t="shared" ref="L91:L111" si="54">B91*F91</f>
        <v>11121.466067020765</v>
      </c>
      <c r="M91" s="155">
        <f t="shared" ref="M91:M111" si="55">B91*G91</f>
        <v>0</v>
      </c>
      <c r="N91" s="155">
        <f t="shared" ref="N91:N111" si="56">B91*H91</f>
        <v>0</v>
      </c>
      <c r="O91" s="155">
        <f t="shared" ref="O91:O111" si="57">B91*I91</f>
        <v>10764.592839621735</v>
      </c>
      <c r="P91" s="174"/>
      <c r="Q91" s="156">
        <f t="shared" si="5"/>
        <v>0</v>
      </c>
    </row>
    <row r="92" spans="1:17" x14ac:dyDescent="0.2">
      <c r="A92" s="150" t="s">
        <v>232</v>
      </c>
      <c r="B92" s="152">
        <f>589344.91</f>
        <v>589344.91</v>
      </c>
      <c r="C92" s="153" t="s">
        <v>59</v>
      </c>
      <c r="E92" s="161">
        <f t="shared" si="48"/>
        <v>0.67555059732799927</v>
      </c>
      <c r="F92" s="161">
        <f t="shared" si="49"/>
        <v>0.16486993102201086</v>
      </c>
      <c r="G92" s="161">
        <f t="shared" si="50"/>
        <v>0</v>
      </c>
      <c r="H92" s="161">
        <f t="shared" si="51"/>
        <v>0</v>
      </c>
      <c r="I92" s="161">
        <f t="shared" si="52"/>
        <v>0.15957947164999015</v>
      </c>
      <c r="K92" s="155">
        <f t="shared" si="53"/>
        <v>398132.30598271597</v>
      </c>
      <c r="L92" s="155">
        <f t="shared" si="54"/>
        <v>97165.254659873201</v>
      </c>
      <c r="M92" s="155">
        <f t="shared" si="55"/>
        <v>0</v>
      </c>
      <c r="N92" s="155">
        <f t="shared" si="56"/>
        <v>0</v>
      </c>
      <c r="O92" s="155">
        <f t="shared" si="57"/>
        <v>94047.349357411003</v>
      </c>
      <c r="P92" s="174"/>
      <c r="Q92" s="156">
        <f t="shared" si="5"/>
        <v>0</v>
      </c>
    </row>
    <row r="93" spans="1:17" x14ac:dyDescent="0.2">
      <c r="A93" s="150"/>
      <c r="B93" s="152"/>
      <c r="C93" s="153" t="s">
        <v>59</v>
      </c>
      <c r="E93" s="161">
        <f t="shared" si="48"/>
        <v>0.67555059732799927</v>
      </c>
      <c r="F93" s="161">
        <f t="shared" si="49"/>
        <v>0.16486993102201086</v>
      </c>
      <c r="G93" s="161">
        <f t="shared" si="50"/>
        <v>0</v>
      </c>
      <c r="H93" s="161">
        <f t="shared" si="51"/>
        <v>0</v>
      </c>
      <c r="I93" s="161">
        <f t="shared" si="52"/>
        <v>0.15957947164999015</v>
      </c>
      <c r="K93" s="155">
        <f t="shared" si="53"/>
        <v>0</v>
      </c>
      <c r="L93" s="155">
        <f t="shared" si="54"/>
        <v>0</v>
      </c>
      <c r="M93" s="155">
        <f t="shared" si="55"/>
        <v>0</v>
      </c>
      <c r="N93" s="155">
        <f t="shared" si="56"/>
        <v>0</v>
      </c>
      <c r="O93" s="155">
        <f t="shared" si="57"/>
        <v>0</v>
      </c>
      <c r="P93" s="174"/>
      <c r="Q93" s="156">
        <f t="shared" si="5"/>
        <v>0</v>
      </c>
    </row>
    <row r="94" spans="1:17" x14ac:dyDescent="0.2">
      <c r="A94" s="150" t="s">
        <v>233</v>
      </c>
      <c r="B94" s="152">
        <f>137830.67</f>
        <v>137830.67000000001</v>
      </c>
      <c r="C94" s="153" t="s">
        <v>59</v>
      </c>
      <c r="E94" s="161">
        <f t="shared" si="48"/>
        <v>0.67555059732799927</v>
      </c>
      <c r="F94" s="161">
        <f t="shared" si="49"/>
        <v>0.16486993102201086</v>
      </c>
      <c r="G94" s="161">
        <f t="shared" si="50"/>
        <v>0</v>
      </c>
      <c r="H94" s="161">
        <f t="shared" si="51"/>
        <v>0</v>
      </c>
      <c r="I94" s="161">
        <f t="shared" si="52"/>
        <v>0.15957947164999015</v>
      </c>
      <c r="K94" s="155">
        <f t="shared" si="53"/>
        <v>93111.591448618361</v>
      </c>
      <c r="L94" s="155">
        <f t="shared" si="54"/>
        <v>22724.133055617545</v>
      </c>
      <c r="M94" s="155">
        <f t="shared" si="55"/>
        <v>0</v>
      </c>
      <c r="N94" s="155">
        <f t="shared" si="56"/>
        <v>0</v>
      </c>
      <c r="O94" s="155">
        <f t="shared" si="57"/>
        <v>21994.94549576415</v>
      </c>
      <c r="P94" s="174"/>
      <c r="Q94" s="156">
        <f t="shared" si="5"/>
        <v>0</v>
      </c>
    </row>
    <row r="95" spans="1:17" x14ac:dyDescent="0.2">
      <c r="A95" s="150"/>
      <c r="B95" s="152"/>
      <c r="C95" s="153" t="s">
        <v>59</v>
      </c>
      <c r="E95" s="161">
        <f t="shared" si="48"/>
        <v>0.67555059732799927</v>
      </c>
      <c r="F95" s="161">
        <f t="shared" si="49"/>
        <v>0.16486993102201086</v>
      </c>
      <c r="G95" s="161">
        <f t="shared" si="50"/>
        <v>0</v>
      </c>
      <c r="H95" s="161">
        <f t="shared" si="51"/>
        <v>0</v>
      </c>
      <c r="I95" s="161">
        <f t="shared" si="52"/>
        <v>0.15957947164999015</v>
      </c>
      <c r="K95" s="155">
        <f t="shared" si="53"/>
        <v>0</v>
      </c>
      <c r="L95" s="155">
        <f t="shared" si="54"/>
        <v>0</v>
      </c>
      <c r="M95" s="155">
        <f t="shared" si="55"/>
        <v>0</v>
      </c>
      <c r="N95" s="155">
        <f t="shared" si="56"/>
        <v>0</v>
      </c>
      <c r="O95" s="155">
        <f t="shared" si="57"/>
        <v>0</v>
      </c>
      <c r="P95" s="174"/>
      <c r="Q95" s="156">
        <f t="shared" si="5"/>
        <v>0</v>
      </c>
    </row>
    <row r="96" spans="1:17" x14ac:dyDescent="0.2">
      <c r="A96" s="150" t="s">
        <v>234</v>
      </c>
      <c r="B96" s="152">
        <f>4500</f>
        <v>4500</v>
      </c>
      <c r="C96" s="164" t="s">
        <v>60</v>
      </c>
      <c r="E96" s="161">
        <f t="shared" si="48"/>
        <v>0.67555059732799927</v>
      </c>
      <c r="F96" s="161">
        <f t="shared" si="49"/>
        <v>0.16486993102201086</v>
      </c>
      <c r="G96" s="161">
        <f t="shared" si="50"/>
        <v>0</v>
      </c>
      <c r="H96" s="161">
        <f t="shared" si="51"/>
        <v>0</v>
      </c>
      <c r="I96" s="161">
        <f t="shared" si="52"/>
        <v>0.15957947164999015</v>
      </c>
      <c r="K96" s="155">
        <f t="shared" si="53"/>
        <v>3039.9776879759966</v>
      </c>
      <c r="L96" s="155">
        <f t="shared" si="54"/>
        <v>741.91468959904887</v>
      </c>
      <c r="M96" s="155">
        <f t="shared" si="55"/>
        <v>0</v>
      </c>
      <c r="N96" s="155">
        <f t="shared" si="56"/>
        <v>0</v>
      </c>
      <c r="O96" s="155">
        <f t="shared" si="57"/>
        <v>718.10762242495571</v>
      </c>
      <c r="P96" s="174"/>
      <c r="Q96" s="156">
        <f t="shared" si="5"/>
        <v>0</v>
      </c>
    </row>
    <row r="97" spans="1:17" x14ac:dyDescent="0.2">
      <c r="A97" s="150" t="s">
        <v>235</v>
      </c>
      <c r="B97" s="152">
        <f>75560</f>
        <v>75560</v>
      </c>
      <c r="C97" s="164" t="s">
        <v>60</v>
      </c>
      <c r="E97" s="161">
        <f t="shared" si="48"/>
        <v>0.67555059732799927</v>
      </c>
      <c r="F97" s="161">
        <f t="shared" si="49"/>
        <v>0.16486993102201086</v>
      </c>
      <c r="G97" s="161">
        <f t="shared" si="50"/>
        <v>0</v>
      </c>
      <c r="H97" s="161">
        <f t="shared" si="51"/>
        <v>0</v>
      </c>
      <c r="I97" s="161">
        <f t="shared" si="52"/>
        <v>0.15957947164999015</v>
      </c>
      <c r="K97" s="155">
        <f t="shared" si="53"/>
        <v>51044.603134103621</v>
      </c>
      <c r="L97" s="155">
        <f t="shared" si="54"/>
        <v>12457.571988023141</v>
      </c>
      <c r="M97" s="155">
        <f t="shared" si="55"/>
        <v>0</v>
      </c>
      <c r="N97" s="155">
        <f t="shared" si="56"/>
        <v>0</v>
      </c>
      <c r="O97" s="155">
        <f t="shared" si="57"/>
        <v>12057.824877873256</v>
      </c>
      <c r="P97" s="174"/>
      <c r="Q97" s="156">
        <f t="shared" si="5"/>
        <v>0</v>
      </c>
    </row>
    <row r="98" spans="1:17" x14ac:dyDescent="0.2">
      <c r="A98" s="150" t="s">
        <v>236</v>
      </c>
      <c r="B98" s="152">
        <f>3000</f>
        <v>3000</v>
      </c>
      <c r="C98" s="164" t="s">
        <v>60</v>
      </c>
      <c r="E98" s="161">
        <f t="shared" si="48"/>
        <v>0.67555059732799927</v>
      </c>
      <c r="F98" s="161">
        <f t="shared" si="49"/>
        <v>0.16486993102201086</v>
      </c>
      <c r="G98" s="161">
        <f t="shared" si="50"/>
        <v>0</v>
      </c>
      <c r="H98" s="161">
        <f t="shared" si="51"/>
        <v>0</v>
      </c>
      <c r="I98" s="161">
        <f t="shared" si="52"/>
        <v>0.15957947164999015</v>
      </c>
      <c r="K98" s="155">
        <f t="shared" si="53"/>
        <v>2026.6517919839978</v>
      </c>
      <c r="L98" s="155">
        <f t="shared" si="54"/>
        <v>494.60979306603258</v>
      </c>
      <c r="M98" s="155">
        <f t="shared" si="55"/>
        <v>0</v>
      </c>
      <c r="N98" s="155">
        <f t="shared" si="56"/>
        <v>0</v>
      </c>
      <c r="O98" s="155">
        <f t="shared" si="57"/>
        <v>478.73841494997043</v>
      </c>
      <c r="P98" s="174"/>
      <c r="Q98" s="156">
        <f t="shared" si="5"/>
        <v>0</v>
      </c>
    </row>
    <row r="99" spans="1:17" x14ac:dyDescent="0.2">
      <c r="A99" s="150" t="s">
        <v>237</v>
      </c>
      <c r="B99" s="152">
        <f>1250000</f>
        <v>1250000</v>
      </c>
      <c r="C99" s="164" t="s">
        <v>60</v>
      </c>
      <c r="E99" s="161">
        <f t="shared" si="48"/>
        <v>0.67555059732799927</v>
      </c>
      <c r="F99" s="161">
        <f t="shared" si="49"/>
        <v>0.16486993102201086</v>
      </c>
      <c r="G99" s="161">
        <f t="shared" si="50"/>
        <v>0</v>
      </c>
      <c r="H99" s="161">
        <f t="shared" si="51"/>
        <v>0</v>
      </c>
      <c r="I99" s="161">
        <f t="shared" si="52"/>
        <v>0.15957947164999015</v>
      </c>
      <c r="K99" s="155">
        <f t="shared" si="53"/>
        <v>844438.24665999913</v>
      </c>
      <c r="L99" s="155">
        <f t="shared" si="54"/>
        <v>206087.41377751358</v>
      </c>
      <c r="M99" s="155">
        <f t="shared" si="55"/>
        <v>0</v>
      </c>
      <c r="N99" s="155">
        <f t="shared" si="56"/>
        <v>0</v>
      </c>
      <c r="O99" s="155">
        <f t="shared" si="57"/>
        <v>199474.33956248767</v>
      </c>
      <c r="P99" s="174"/>
      <c r="Q99" s="156">
        <f t="shared" si="5"/>
        <v>0</v>
      </c>
    </row>
    <row r="100" spans="1:17" x14ac:dyDescent="0.2">
      <c r="A100" s="150" t="s">
        <v>238</v>
      </c>
      <c r="B100" s="152">
        <f>95000</f>
        <v>95000</v>
      </c>
      <c r="C100" s="164" t="s">
        <v>60</v>
      </c>
      <c r="E100" s="161">
        <f t="shared" si="48"/>
        <v>0.67555059732799927</v>
      </c>
      <c r="F100" s="161">
        <f t="shared" si="49"/>
        <v>0.16486993102201086</v>
      </c>
      <c r="G100" s="161">
        <f t="shared" si="50"/>
        <v>0</v>
      </c>
      <c r="H100" s="161">
        <f t="shared" si="51"/>
        <v>0</v>
      </c>
      <c r="I100" s="161">
        <f t="shared" si="52"/>
        <v>0.15957947164999015</v>
      </c>
      <c r="K100" s="155">
        <f t="shared" si="53"/>
        <v>64177.306746159928</v>
      </c>
      <c r="L100" s="155">
        <f t="shared" si="54"/>
        <v>15662.643447091032</v>
      </c>
      <c r="M100" s="155">
        <f t="shared" si="55"/>
        <v>0</v>
      </c>
      <c r="N100" s="155">
        <f t="shared" si="56"/>
        <v>0</v>
      </c>
      <c r="O100" s="155">
        <f t="shared" si="57"/>
        <v>15160.049806749064</v>
      </c>
      <c r="P100" s="174"/>
      <c r="Q100" s="156">
        <f t="shared" si="5"/>
        <v>0</v>
      </c>
    </row>
    <row r="101" spans="1:17" x14ac:dyDescent="0.2">
      <c r="A101" s="150"/>
      <c r="B101" s="152"/>
      <c r="C101" s="164" t="s">
        <v>60</v>
      </c>
      <c r="E101" s="161">
        <f>$K$3</f>
        <v>0.67555059732799927</v>
      </c>
      <c r="F101" s="161">
        <f>$L$3</f>
        <v>0.16486993102201086</v>
      </c>
      <c r="G101" s="161">
        <f>$M$3</f>
        <v>0</v>
      </c>
      <c r="H101" s="161">
        <f>$N$3</f>
        <v>0</v>
      </c>
      <c r="I101" s="161">
        <f>$O$3</f>
        <v>0.15957947164999015</v>
      </c>
      <c r="K101" s="155">
        <f>B101*E101</f>
        <v>0</v>
      </c>
      <c r="L101" s="155">
        <f t="shared" si="54"/>
        <v>0</v>
      </c>
      <c r="M101" s="155">
        <f t="shared" si="55"/>
        <v>0</v>
      </c>
      <c r="N101" s="155">
        <f t="shared" si="56"/>
        <v>0</v>
      </c>
      <c r="O101" s="155">
        <f t="shared" si="57"/>
        <v>0</v>
      </c>
      <c r="P101" s="174"/>
      <c r="Q101" s="156">
        <f t="shared" si="5"/>
        <v>0</v>
      </c>
    </row>
    <row r="102" spans="1:17" x14ac:dyDescent="0.2">
      <c r="A102" s="150"/>
      <c r="B102" s="152"/>
      <c r="C102" s="164" t="s">
        <v>60</v>
      </c>
      <c r="E102" s="161">
        <f t="shared" ref="E102:E111" si="58">$K$3</f>
        <v>0.67555059732799927</v>
      </c>
      <c r="F102" s="161">
        <f t="shared" ref="F102:F111" si="59">$L$3</f>
        <v>0.16486993102201086</v>
      </c>
      <c r="G102" s="161">
        <f t="shared" ref="G102:G111" si="60">$M$3</f>
        <v>0</v>
      </c>
      <c r="H102" s="161">
        <f t="shared" ref="H102:H111" si="61">$N$3</f>
        <v>0</v>
      </c>
      <c r="I102" s="161">
        <f t="shared" ref="I102:I111" si="62">$O$3</f>
        <v>0.15957947164999015</v>
      </c>
      <c r="K102" s="155">
        <f t="shared" ref="K102:K111" si="63">B102*E102</f>
        <v>0</v>
      </c>
      <c r="L102" s="155">
        <f t="shared" si="54"/>
        <v>0</v>
      </c>
      <c r="M102" s="155">
        <f t="shared" si="55"/>
        <v>0</v>
      </c>
      <c r="N102" s="155">
        <f t="shared" si="56"/>
        <v>0</v>
      </c>
      <c r="O102" s="155">
        <f t="shared" si="57"/>
        <v>0</v>
      </c>
      <c r="P102" s="174"/>
      <c r="Q102" s="156">
        <f t="shared" si="5"/>
        <v>0</v>
      </c>
    </row>
    <row r="103" spans="1:17" x14ac:dyDescent="0.2">
      <c r="A103" s="150" t="s">
        <v>239</v>
      </c>
      <c r="B103" s="152">
        <f>100000</f>
        <v>100000</v>
      </c>
      <c r="C103" s="164" t="s">
        <v>60</v>
      </c>
      <c r="E103" s="161">
        <f t="shared" si="58"/>
        <v>0.67555059732799927</v>
      </c>
      <c r="F103" s="161">
        <f t="shared" si="59"/>
        <v>0.16486993102201086</v>
      </c>
      <c r="G103" s="161">
        <f t="shared" si="60"/>
        <v>0</v>
      </c>
      <c r="H103" s="161">
        <f t="shared" si="61"/>
        <v>0</v>
      </c>
      <c r="I103" s="161">
        <f t="shared" si="62"/>
        <v>0.15957947164999015</v>
      </c>
      <c r="K103" s="155">
        <f t="shared" si="63"/>
        <v>67555.059732799928</v>
      </c>
      <c r="L103" s="155">
        <f t="shared" si="54"/>
        <v>16486.993102201086</v>
      </c>
      <c r="M103" s="155">
        <f t="shared" si="55"/>
        <v>0</v>
      </c>
      <c r="N103" s="155">
        <f t="shared" si="56"/>
        <v>0</v>
      </c>
      <c r="O103" s="155">
        <f t="shared" si="57"/>
        <v>15957.947164999014</v>
      </c>
      <c r="P103" s="174"/>
      <c r="Q103" s="156">
        <f t="shared" si="5"/>
        <v>0</v>
      </c>
    </row>
    <row r="104" spans="1:17" x14ac:dyDescent="0.2">
      <c r="A104" s="150"/>
      <c r="B104" s="152"/>
      <c r="C104" s="164" t="s">
        <v>60</v>
      </c>
      <c r="E104" s="161">
        <f t="shared" si="58"/>
        <v>0.67555059732799927</v>
      </c>
      <c r="F104" s="161">
        <f t="shared" si="59"/>
        <v>0.16486993102201086</v>
      </c>
      <c r="G104" s="161">
        <f t="shared" si="60"/>
        <v>0</v>
      </c>
      <c r="H104" s="161">
        <f t="shared" si="61"/>
        <v>0</v>
      </c>
      <c r="I104" s="161">
        <f t="shared" si="62"/>
        <v>0.15957947164999015</v>
      </c>
      <c r="K104" s="155">
        <f t="shared" si="63"/>
        <v>0</v>
      </c>
      <c r="L104" s="155">
        <f t="shared" si="54"/>
        <v>0</v>
      </c>
      <c r="M104" s="155">
        <f t="shared" si="55"/>
        <v>0</v>
      </c>
      <c r="N104" s="155">
        <f t="shared" si="56"/>
        <v>0</v>
      </c>
      <c r="O104" s="155">
        <f t="shared" si="57"/>
        <v>0</v>
      </c>
      <c r="P104" s="174"/>
      <c r="Q104" s="156">
        <f t="shared" si="5"/>
        <v>0</v>
      </c>
    </row>
    <row r="105" spans="1:17" x14ac:dyDescent="0.2">
      <c r="A105" s="150" t="s">
        <v>240</v>
      </c>
      <c r="B105" s="152">
        <f>47527.82</f>
        <v>47527.82</v>
      </c>
      <c r="C105" s="164" t="s">
        <v>60</v>
      </c>
      <c r="E105" s="161">
        <f t="shared" si="58"/>
        <v>0.67555059732799927</v>
      </c>
      <c r="F105" s="161">
        <f t="shared" si="59"/>
        <v>0.16486993102201086</v>
      </c>
      <c r="G105" s="161">
        <f t="shared" si="60"/>
        <v>0</v>
      </c>
      <c r="H105" s="161">
        <f t="shared" si="61"/>
        <v>0</v>
      </c>
      <c r="I105" s="161">
        <f t="shared" si="62"/>
        <v>0.15957947164999015</v>
      </c>
      <c r="K105" s="155">
        <f t="shared" si="63"/>
        <v>32107.447190697629</v>
      </c>
      <c r="L105" s="155">
        <f t="shared" si="54"/>
        <v>7835.9084050265483</v>
      </c>
      <c r="M105" s="155">
        <f t="shared" si="55"/>
        <v>0</v>
      </c>
      <c r="N105" s="155">
        <f t="shared" si="56"/>
        <v>0</v>
      </c>
      <c r="O105" s="155">
        <f t="shared" si="57"/>
        <v>7584.4644042758346</v>
      </c>
      <c r="P105" s="174"/>
      <c r="Q105" s="156">
        <f t="shared" si="5"/>
        <v>0</v>
      </c>
    </row>
    <row r="106" spans="1:17" x14ac:dyDescent="0.2">
      <c r="A106" s="150" t="s">
        <v>241</v>
      </c>
      <c r="B106" s="152">
        <f>10000</f>
        <v>10000</v>
      </c>
      <c r="C106" s="164" t="s">
        <v>60</v>
      </c>
      <c r="E106" s="161">
        <f t="shared" si="58"/>
        <v>0.67555059732799927</v>
      </c>
      <c r="F106" s="161">
        <f t="shared" si="59"/>
        <v>0.16486993102201086</v>
      </c>
      <c r="G106" s="161">
        <f t="shared" si="60"/>
        <v>0</v>
      </c>
      <c r="H106" s="161">
        <f t="shared" si="61"/>
        <v>0</v>
      </c>
      <c r="I106" s="161">
        <f t="shared" si="62"/>
        <v>0.15957947164999015</v>
      </c>
      <c r="K106" s="155">
        <f t="shared" si="63"/>
        <v>6755.5059732799928</v>
      </c>
      <c r="L106" s="155">
        <f t="shared" si="54"/>
        <v>1648.6993102201086</v>
      </c>
      <c r="M106" s="155">
        <f t="shared" si="55"/>
        <v>0</v>
      </c>
      <c r="N106" s="155">
        <f t="shared" si="56"/>
        <v>0</v>
      </c>
      <c r="O106" s="155">
        <f t="shared" si="57"/>
        <v>1595.7947164999014</v>
      </c>
      <c r="P106" s="174"/>
      <c r="Q106" s="156">
        <f t="shared" ref="Q106:Q177" si="64">SUM(K106:P106)-B106</f>
        <v>0</v>
      </c>
    </row>
    <row r="107" spans="1:17" x14ac:dyDescent="0.2">
      <c r="A107" s="150" t="s">
        <v>242</v>
      </c>
      <c r="B107" s="152">
        <f>186711.26</f>
        <v>186711.26</v>
      </c>
      <c r="C107" s="153" t="s">
        <v>60</v>
      </c>
      <c r="E107" s="161">
        <f t="shared" si="58"/>
        <v>0.67555059732799927</v>
      </c>
      <c r="F107" s="161">
        <f t="shared" si="59"/>
        <v>0.16486993102201086</v>
      </c>
      <c r="G107" s="161">
        <f t="shared" si="60"/>
        <v>0</v>
      </c>
      <c r="H107" s="161">
        <f t="shared" si="61"/>
        <v>0</v>
      </c>
      <c r="I107" s="161">
        <f t="shared" si="62"/>
        <v>0.15957947164999015</v>
      </c>
      <c r="K107" s="155">
        <f t="shared" si="63"/>
        <v>126132.90322086339</v>
      </c>
      <c r="L107" s="155">
        <f t="shared" si="54"/>
        <v>30783.072557232739</v>
      </c>
      <c r="M107" s="155">
        <f t="shared" si="55"/>
        <v>0</v>
      </c>
      <c r="N107" s="155">
        <f t="shared" si="56"/>
        <v>0</v>
      </c>
      <c r="O107" s="155">
        <f t="shared" si="57"/>
        <v>29795.284221903941</v>
      </c>
      <c r="P107" s="174"/>
      <c r="Q107" s="156">
        <f t="shared" si="64"/>
        <v>0</v>
      </c>
    </row>
    <row r="108" spans="1:17" x14ac:dyDescent="0.2">
      <c r="A108" s="150"/>
      <c r="B108" s="152"/>
      <c r="C108" s="153" t="s">
        <v>60</v>
      </c>
      <c r="E108" s="161">
        <f t="shared" si="58"/>
        <v>0.67555059732799927</v>
      </c>
      <c r="F108" s="161">
        <f t="shared" si="59"/>
        <v>0.16486993102201086</v>
      </c>
      <c r="G108" s="161">
        <f t="shared" si="60"/>
        <v>0</v>
      </c>
      <c r="H108" s="161">
        <f t="shared" si="61"/>
        <v>0</v>
      </c>
      <c r="I108" s="161">
        <f t="shared" si="62"/>
        <v>0.15957947164999015</v>
      </c>
      <c r="K108" s="155">
        <f t="shared" si="63"/>
        <v>0</v>
      </c>
      <c r="L108" s="155">
        <f t="shared" si="54"/>
        <v>0</v>
      </c>
      <c r="M108" s="155">
        <f t="shared" si="55"/>
        <v>0</v>
      </c>
      <c r="N108" s="155">
        <f t="shared" si="56"/>
        <v>0</v>
      </c>
      <c r="O108" s="155">
        <f t="shared" si="57"/>
        <v>0</v>
      </c>
      <c r="P108" s="174"/>
      <c r="Q108" s="156">
        <f t="shared" si="64"/>
        <v>0</v>
      </c>
    </row>
    <row r="109" spans="1:17" x14ac:dyDescent="0.2">
      <c r="A109" s="150"/>
      <c r="B109" s="152"/>
      <c r="C109" s="153" t="s">
        <v>60</v>
      </c>
      <c r="E109" s="161">
        <f t="shared" si="58"/>
        <v>0.67555059732799927</v>
      </c>
      <c r="F109" s="161">
        <f t="shared" si="59"/>
        <v>0.16486993102201086</v>
      </c>
      <c r="G109" s="161">
        <f t="shared" si="60"/>
        <v>0</v>
      </c>
      <c r="H109" s="161">
        <f t="shared" si="61"/>
        <v>0</v>
      </c>
      <c r="I109" s="161">
        <f t="shared" si="62"/>
        <v>0.15957947164999015</v>
      </c>
      <c r="K109" s="155">
        <f t="shared" si="63"/>
        <v>0</v>
      </c>
      <c r="L109" s="155">
        <f t="shared" si="54"/>
        <v>0</v>
      </c>
      <c r="M109" s="155">
        <f t="shared" si="55"/>
        <v>0</v>
      </c>
      <c r="N109" s="155">
        <f t="shared" si="56"/>
        <v>0</v>
      </c>
      <c r="O109" s="155">
        <f t="shared" si="57"/>
        <v>0</v>
      </c>
      <c r="P109" s="174"/>
      <c r="Q109" s="156">
        <f t="shared" si="64"/>
        <v>0</v>
      </c>
    </row>
    <row r="110" spans="1:17" x14ac:dyDescent="0.2">
      <c r="A110" s="150"/>
      <c r="B110" s="152"/>
      <c r="C110" s="153" t="s">
        <v>60</v>
      </c>
      <c r="E110" s="161">
        <f t="shared" si="58"/>
        <v>0.67555059732799927</v>
      </c>
      <c r="F110" s="161">
        <f t="shared" si="59"/>
        <v>0.16486993102201086</v>
      </c>
      <c r="G110" s="161">
        <f t="shared" si="60"/>
        <v>0</v>
      </c>
      <c r="H110" s="161">
        <f t="shared" si="61"/>
        <v>0</v>
      </c>
      <c r="I110" s="161">
        <f t="shared" si="62"/>
        <v>0.15957947164999015</v>
      </c>
      <c r="K110" s="155">
        <f t="shared" si="63"/>
        <v>0</v>
      </c>
      <c r="L110" s="155">
        <f t="shared" si="54"/>
        <v>0</v>
      </c>
      <c r="M110" s="155">
        <f t="shared" si="55"/>
        <v>0</v>
      </c>
      <c r="N110" s="155">
        <f t="shared" si="56"/>
        <v>0</v>
      </c>
      <c r="O110" s="155">
        <f t="shared" si="57"/>
        <v>0</v>
      </c>
      <c r="P110" s="174"/>
      <c r="Q110" s="156">
        <f t="shared" si="64"/>
        <v>0</v>
      </c>
    </row>
    <row r="111" spans="1:17" x14ac:dyDescent="0.2">
      <c r="A111" s="150"/>
      <c r="B111" s="152"/>
      <c r="C111" s="153" t="s">
        <v>60</v>
      </c>
      <c r="E111" s="161">
        <f t="shared" si="58"/>
        <v>0.67555059732799927</v>
      </c>
      <c r="F111" s="161">
        <f t="shared" si="59"/>
        <v>0.16486993102201086</v>
      </c>
      <c r="G111" s="161">
        <f t="shared" si="60"/>
        <v>0</v>
      </c>
      <c r="H111" s="161">
        <f t="shared" si="61"/>
        <v>0</v>
      </c>
      <c r="I111" s="161">
        <f t="shared" si="62"/>
        <v>0.15957947164999015</v>
      </c>
      <c r="K111" s="155">
        <f t="shared" si="63"/>
        <v>0</v>
      </c>
      <c r="L111" s="155">
        <f t="shared" si="54"/>
        <v>0</v>
      </c>
      <c r="M111" s="155">
        <f t="shared" si="55"/>
        <v>0</v>
      </c>
      <c r="N111" s="155">
        <f t="shared" si="56"/>
        <v>0</v>
      </c>
      <c r="O111" s="155">
        <f t="shared" si="57"/>
        <v>0</v>
      </c>
      <c r="P111" s="174"/>
      <c r="Q111" s="156">
        <f t="shared" si="64"/>
        <v>0</v>
      </c>
    </row>
    <row r="112" spans="1:17" x14ac:dyDescent="0.2">
      <c r="A112" s="150" t="s">
        <v>243</v>
      </c>
      <c r="B112" s="158">
        <f>((((((((((((B90)+(B91))+(B92))+(B94))+(B96))+(B97))+(B98))+(B99))+(B100))+(B103))+(B105))+(B106))+(B107)</f>
        <v>2566930.66</v>
      </c>
      <c r="E112" s="159" t="s">
        <v>165</v>
      </c>
      <c r="F112" s="159" t="s">
        <v>165</v>
      </c>
      <c r="G112" s="159" t="s">
        <v>165</v>
      </c>
      <c r="H112" s="159" t="s">
        <v>165</v>
      </c>
      <c r="I112" s="159" t="s">
        <v>165</v>
      </c>
      <c r="K112" s="159" t="s">
        <v>165</v>
      </c>
      <c r="L112" s="159" t="s">
        <v>165</v>
      </c>
      <c r="M112" s="159" t="s">
        <v>165</v>
      </c>
      <c r="N112" s="159" t="s">
        <v>165</v>
      </c>
      <c r="O112" s="159" t="s">
        <v>165</v>
      </c>
      <c r="P112" s="174"/>
      <c r="Q112" s="156">
        <f t="shared" si="64"/>
        <v>-2566930.66</v>
      </c>
    </row>
    <row r="113" spans="1:17" x14ac:dyDescent="0.2">
      <c r="A113" s="150" t="s">
        <v>244</v>
      </c>
      <c r="B113" s="151"/>
      <c r="P113" s="174"/>
      <c r="Q113" s="156">
        <f t="shared" si="64"/>
        <v>0</v>
      </c>
    </row>
    <row r="114" spans="1:17" x14ac:dyDescent="0.2">
      <c r="A114" s="150" t="s">
        <v>245</v>
      </c>
      <c r="B114" s="152">
        <f>85000</f>
        <v>85000</v>
      </c>
      <c r="C114" s="153" t="s">
        <v>88</v>
      </c>
      <c r="E114" s="161">
        <f t="shared" ref="E114:E126" si="65">$K$3</f>
        <v>0.67555059732799927</v>
      </c>
      <c r="F114" s="161">
        <f t="shared" ref="F114:F126" si="66">$L$3</f>
        <v>0.16486993102201086</v>
      </c>
      <c r="G114" s="161">
        <f t="shared" ref="G114:G126" si="67">$M$3</f>
        <v>0</v>
      </c>
      <c r="H114" s="161">
        <f t="shared" ref="H114:H126" si="68">$N$3</f>
        <v>0</v>
      </c>
      <c r="I114" s="161">
        <f t="shared" ref="I114:I126" si="69">$O$3</f>
        <v>0.15957947164999015</v>
      </c>
      <c r="K114" s="155">
        <f t="shared" ref="K114:K126" si="70">B114*E114</f>
        <v>57421.800772879935</v>
      </c>
      <c r="L114" s="155">
        <f t="shared" ref="L114:L126" si="71">B114*F114</f>
        <v>14013.944136870923</v>
      </c>
      <c r="M114" s="155">
        <f t="shared" ref="M114:M126" si="72">B114*G114</f>
        <v>0</v>
      </c>
      <c r="N114" s="155">
        <f t="shared" ref="N114:N126" si="73">B114*H114</f>
        <v>0</v>
      </c>
      <c r="O114" s="155">
        <f t="shared" ref="O114:O126" si="74">B114*I114</f>
        <v>13564.255090249162</v>
      </c>
      <c r="P114" s="174"/>
      <c r="Q114" s="156">
        <f t="shared" si="64"/>
        <v>0</v>
      </c>
    </row>
    <row r="115" spans="1:17" x14ac:dyDescent="0.2">
      <c r="A115" s="150" t="s">
        <v>246</v>
      </c>
      <c r="B115" s="152">
        <f>10000</f>
        <v>10000</v>
      </c>
      <c r="C115" s="153" t="s">
        <v>247</v>
      </c>
      <c r="E115" s="161">
        <f t="shared" si="65"/>
        <v>0.67555059732799927</v>
      </c>
      <c r="F115" s="161">
        <f t="shared" si="66"/>
        <v>0.16486993102201086</v>
      </c>
      <c r="G115" s="161">
        <f t="shared" si="67"/>
        <v>0</v>
      </c>
      <c r="H115" s="161">
        <f t="shared" si="68"/>
        <v>0</v>
      </c>
      <c r="I115" s="161">
        <f t="shared" si="69"/>
        <v>0.15957947164999015</v>
      </c>
      <c r="K115" s="155">
        <f t="shared" si="70"/>
        <v>6755.5059732799928</v>
      </c>
      <c r="L115" s="155">
        <f t="shared" si="71"/>
        <v>1648.6993102201086</v>
      </c>
      <c r="M115" s="155">
        <f t="shared" si="72"/>
        <v>0</v>
      </c>
      <c r="N115" s="155">
        <f t="shared" si="73"/>
        <v>0</v>
      </c>
      <c r="O115" s="155">
        <f t="shared" si="74"/>
        <v>1595.7947164999014</v>
      </c>
      <c r="P115" s="174"/>
      <c r="Q115" s="156">
        <f t="shared" si="64"/>
        <v>0</v>
      </c>
    </row>
    <row r="116" spans="1:17" x14ac:dyDescent="0.2">
      <c r="A116" s="150" t="s">
        <v>248</v>
      </c>
      <c r="B116" s="152">
        <f>10000</f>
        <v>10000</v>
      </c>
      <c r="C116" s="153" t="s">
        <v>247</v>
      </c>
      <c r="E116" s="161">
        <f t="shared" si="65"/>
        <v>0.67555059732799927</v>
      </c>
      <c r="F116" s="161">
        <f t="shared" si="66"/>
        <v>0.16486993102201086</v>
      </c>
      <c r="G116" s="161">
        <f t="shared" si="67"/>
        <v>0</v>
      </c>
      <c r="H116" s="161">
        <f t="shared" si="68"/>
        <v>0</v>
      </c>
      <c r="I116" s="161">
        <f t="shared" si="69"/>
        <v>0.15957947164999015</v>
      </c>
      <c r="K116" s="155">
        <f t="shared" si="70"/>
        <v>6755.5059732799928</v>
      </c>
      <c r="L116" s="155">
        <f t="shared" si="71"/>
        <v>1648.6993102201086</v>
      </c>
      <c r="M116" s="155">
        <f t="shared" si="72"/>
        <v>0</v>
      </c>
      <c r="N116" s="155">
        <f t="shared" si="73"/>
        <v>0</v>
      </c>
      <c r="O116" s="155">
        <f t="shared" si="74"/>
        <v>1595.7947164999014</v>
      </c>
      <c r="P116" s="174"/>
      <c r="Q116" s="156">
        <f t="shared" si="64"/>
        <v>0</v>
      </c>
    </row>
    <row r="117" spans="1:17" x14ac:dyDescent="0.2">
      <c r="A117" s="150" t="s">
        <v>249</v>
      </c>
      <c r="B117" s="152">
        <f>25000</f>
        <v>25000</v>
      </c>
      <c r="C117" s="153" t="s">
        <v>88</v>
      </c>
      <c r="E117" s="161">
        <f t="shared" si="65"/>
        <v>0.67555059732799927</v>
      </c>
      <c r="F117" s="161">
        <f t="shared" si="66"/>
        <v>0.16486993102201086</v>
      </c>
      <c r="G117" s="161">
        <f t="shared" si="67"/>
        <v>0</v>
      </c>
      <c r="H117" s="161">
        <f t="shared" si="68"/>
        <v>0</v>
      </c>
      <c r="I117" s="161">
        <f t="shared" si="69"/>
        <v>0.15957947164999015</v>
      </c>
      <c r="K117" s="155">
        <f t="shared" si="70"/>
        <v>16888.764933199982</v>
      </c>
      <c r="L117" s="155">
        <f t="shared" si="71"/>
        <v>4121.7482755502715</v>
      </c>
      <c r="M117" s="155">
        <f t="shared" si="72"/>
        <v>0</v>
      </c>
      <c r="N117" s="155">
        <f t="shared" si="73"/>
        <v>0</v>
      </c>
      <c r="O117" s="155">
        <f t="shared" si="74"/>
        <v>3989.4867912497534</v>
      </c>
      <c r="P117" s="174"/>
      <c r="Q117" s="156">
        <f t="shared" si="64"/>
        <v>0</v>
      </c>
    </row>
    <row r="118" spans="1:17" x14ac:dyDescent="0.2">
      <c r="A118" s="150" t="s">
        <v>250</v>
      </c>
      <c r="B118" s="152">
        <f>44224.16</f>
        <v>44224.160000000003</v>
      </c>
      <c r="C118" s="153" t="s">
        <v>88</v>
      </c>
      <c r="E118" s="161">
        <f t="shared" si="65"/>
        <v>0.67555059732799927</v>
      </c>
      <c r="F118" s="161">
        <f t="shared" si="66"/>
        <v>0.16486993102201086</v>
      </c>
      <c r="G118" s="161">
        <f t="shared" si="67"/>
        <v>0</v>
      </c>
      <c r="H118" s="161">
        <f t="shared" si="68"/>
        <v>0</v>
      </c>
      <c r="I118" s="161">
        <f t="shared" si="69"/>
        <v>0.15957947164999015</v>
      </c>
      <c r="K118" s="155">
        <f t="shared" si="70"/>
        <v>29875.657704329016</v>
      </c>
      <c r="L118" s="155">
        <f t="shared" si="71"/>
        <v>7291.2342087063726</v>
      </c>
      <c r="M118" s="155">
        <f t="shared" si="72"/>
        <v>0</v>
      </c>
      <c r="N118" s="155">
        <f t="shared" si="73"/>
        <v>0</v>
      </c>
      <c r="O118" s="155">
        <f t="shared" si="74"/>
        <v>7057.2680869646283</v>
      </c>
      <c r="P118" s="174"/>
      <c r="Q118" s="156">
        <f t="shared" si="64"/>
        <v>0</v>
      </c>
    </row>
    <row r="119" spans="1:17" x14ac:dyDescent="0.2">
      <c r="A119" s="150" t="s">
        <v>251</v>
      </c>
      <c r="B119" s="152">
        <f>40000</f>
        <v>40000</v>
      </c>
      <c r="C119" s="153" t="s">
        <v>99</v>
      </c>
      <c r="E119" s="161">
        <f t="shared" si="65"/>
        <v>0.67555059732799927</v>
      </c>
      <c r="F119" s="161">
        <f t="shared" si="66"/>
        <v>0.16486993102201086</v>
      </c>
      <c r="G119" s="161">
        <f t="shared" si="67"/>
        <v>0</v>
      </c>
      <c r="H119" s="161">
        <f t="shared" si="68"/>
        <v>0</v>
      </c>
      <c r="I119" s="161">
        <f t="shared" si="69"/>
        <v>0.15957947164999015</v>
      </c>
      <c r="K119" s="155">
        <f t="shared" si="70"/>
        <v>27022.023893119971</v>
      </c>
      <c r="L119" s="155">
        <f t="shared" si="71"/>
        <v>6594.7972408804344</v>
      </c>
      <c r="M119" s="155">
        <f t="shared" si="72"/>
        <v>0</v>
      </c>
      <c r="N119" s="155">
        <f t="shared" si="73"/>
        <v>0</v>
      </c>
      <c r="O119" s="155">
        <f t="shared" si="74"/>
        <v>6383.1788659996055</v>
      </c>
      <c r="P119" s="174"/>
      <c r="Q119" s="156">
        <f t="shared" si="64"/>
        <v>0</v>
      </c>
    </row>
    <row r="120" spans="1:17" x14ac:dyDescent="0.2">
      <c r="A120" s="150" t="s">
        <v>252</v>
      </c>
      <c r="B120" s="152">
        <f>8000</f>
        <v>8000</v>
      </c>
      <c r="C120" s="153" t="s">
        <v>88</v>
      </c>
      <c r="E120" s="161">
        <f t="shared" si="65"/>
        <v>0.67555059732799927</v>
      </c>
      <c r="F120" s="161">
        <f t="shared" si="66"/>
        <v>0.16486993102201086</v>
      </c>
      <c r="G120" s="161">
        <f t="shared" si="67"/>
        <v>0</v>
      </c>
      <c r="H120" s="161">
        <f t="shared" si="68"/>
        <v>0</v>
      </c>
      <c r="I120" s="161">
        <f t="shared" si="69"/>
        <v>0.15957947164999015</v>
      </c>
      <c r="K120" s="155">
        <f t="shared" si="70"/>
        <v>5404.4047786239944</v>
      </c>
      <c r="L120" s="155">
        <f t="shared" si="71"/>
        <v>1318.9594481760869</v>
      </c>
      <c r="M120" s="155">
        <f t="shared" si="72"/>
        <v>0</v>
      </c>
      <c r="N120" s="155">
        <f t="shared" si="73"/>
        <v>0</v>
      </c>
      <c r="O120" s="155">
        <f t="shared" si="74"/>
        <v>1276.6357731999212</v>
      </c>
      <c r="P120" s="174"/>
      <c r="Q120" s="156">
        <f t="shared" si="64"/>
        <v>0</v>
      </c>
    </row>
    <row r="121" spans="1:17" x14ac:dyDescent="0.2">
      <c r="A121" s="150" t="s">
        <v>253</v>
      </c>
      <c r="B121" s="152">
        <f>81200</f>
        <v>81200</v>
      </c>
      <c r="C121" s="153" t="s">
        <v>96</v>
      </c>
      <c r="E121" s="161">
        <f t="shared" si="65"/>
        <v>0.67555059732799927</v>
      </c>
      <c r="F121" s="161">
        <f t="shared" si="66"/>
        <v>0.16486993102201086</v>
      </c>
      <c r="G121" s="161">
        <f t="shared" si="67"/>
        <v>0</v>
      </c>
      <c r="H121" s="161">
        <f t="shared" si="68"/>
        <v>0</v>
      </c>
      <c r="I121" s="161">
        <f t="shared" si="69"/>
        <v>0.15957947164999015</v>
      </c>
      <c r="K121" s="155">
        <f t="shared" si="70"/>
        <v>54854.708503033544</v>
      </c>
      <c r="L121" s="155">
        <f t="shared" si="71"/>
        <v>13387.438398987282</v>
      </c>
      <c r="M121" s="155">
        <f t="shared" si="72"/>
        <v>0</v>
      </c>
      <c r="N121" s="155">
        <f t="shared" si="73"/>
        <v>0</v>
      </c>
      <c r="O121" s="155">
        <f t="shared" si="74"/>
        <v>12957.853097979199</v>
      </c>
      <c r="P121" s="174"/>
      <c r="Q121" s="156">
        <f t="shared" si="64"/>
        <v>0</v>
      </c>
    </row>
    <row r="122" spans="1:17" x14ac:dyDescent="0.2">
      <c r="A122" s="150" t="s">
        <v>254</v>
      </c>
      <c r="B122" s="152">
        <f>2500</f>
        <v>2500</v>
      </c>
      <c r="C122" s="153" t="s">
        <v>96</v>
      </c>
      <c r="E122" s="161">
        <f t="shared" si="65"/>
        <v>0.67555059732799927</v>
      </c>
      <c r="F122" s="161">
        <f t="shared" si="66"/>
        <v>0.16486993102201086</v>
      </c>
      <c r="G122" s="161">
        <f t="shared" si="67"/>
        <v>0</v>
      </c>
      <c r="H122" s="161">
        <f t="shared" si="68"/>
        <v>0</v>
      </c>
      <c r="I122" s="161">
        <f t="shared" si="69"/>
        <v>0.15957947164999015</v>
      </c>
      <c r="K122" s="155">
        <f t="shared" si="70"/>
        <v>1688.8764933199982</v>
      </c>
      <c r="L122" s="155">
        <f t="shared" si="71"/>
        <v>412.17482755502715</v>
      </c>
      <c r="M122" s="155">
        <f t="shared" si="72"/>
        <v>0</v>
      </c>
      <c r="N122" s="155">
        <f t="shared" si="73"/>
        <v>0</v>
      </c>
      <c r="O122" s="155">
        <f t="shared" si="74"/>
        <v>398.94867912497534</v>
      </c>
      <c r="P122" s="174"/>
      <c r="Q122" s="156">
        <f t="shared" si="64"/>
        <v>0</v>
      </c>
    </row>
    <row r="123" spans="1:17" x14ac:dyDescent="0.2">
      <c r="A123" s="150" t="s">
        <v>255</v>
      </c>
      <c r="B123" s="152">
        <f>35000</f>
        <v>35000</v>
      </c>
      <c r="C123" s="153" t="s">
        <v>256</v>
      </c>
      <c r="E123" s="161">
        <f t="shared" si="65"/>
        <v>0.67555059732799927</v>
      </c>
      <c r="F123" s="161">
        <f t="shared" si="66"/>
        <v>0.16486993102201086</v>
      </c>
      <c r="G123" s="161">
        <f t="shared" si="67"/>
        <v>0</v>
      </c>
      <c r="H123" s="161">
        <f t="shared" si="68"/>
        <v>0</v>
      </c>
      <c r="I123" s="161">
        <f t="shared" si="69"/>
        <v>0.15957947164999015</v>
      </c>
      <c r="K123" s="155">
        <f t="shared" si="70"/>
        <v>23644.270906479975</v>
      </c>
      <c r="L123" s="155">
        <f t="shared" si="71"/>
        <v>5770.4475857703801</v>
      </c>
      <c r="M123" s="155">
        <f t="shared" si="72"/>
        <v>0</v>
      </c>
      <c r="N123" s="155">
        <f t="shared" si="73"/>
        <v>0</v>
      </c>
      <c r="O123" s="155">
        <f t="shared" si="74"/>
        <v>5585.2815077496552</v>
      </c>
      <c r="P123" s="174"/>
      <c r="Q123" s="156">
        <f t="shared" si="64"/>
        <v>0</v>
      </c>
    </row>
    <row r="124" spans="1:17" x14ac:dyDescent="0.2">
      <c r="A124" s="150" t="s">
        <v>257</v>
      </c>
      <c r="B124" s="152">
        <f>10000</f>
        <v>10000</v>
      </c>
      <c r="C124" s="153" t="s">
        <v>87</v>
      </c>
      <c r="E124" s="157">
        <f>$H$3</f>
        <v>0.7997557997557998</v>
      </c>
      <c r="F124" s="157">
        <f>$I$3</f>
        <v>0.20024420024420025</v>
      </c>
      <c r="G124" s="157"/>
      <c r="H124" s="157"/>
      <c r="I124" s="157"/>
      <c r="K124" s="155">
        <f t="shared" si="70"/>
        <v>7997.5579975579976</v>
      </c>
      <c r="L124" s="155">
        <f t="shared" si="71"/>
        <v>2002.4420024420026</v>
      </c>
      <c r="M124" s="155">
        <f t="shared" si="72"/>
        <v>0</v>
      </c>
      <c r="N124" s="155">
        <f t="shared" si="73"/>
        <v>0</v>
      </c>
      <c r="O124" s="155">
        <f t="shared" si="74"/>
        <v>0</v>
      </c>
      <c r="P124" s="174"/>
      <c r="Q124" s="156">
        <f t="shared" si="64"/>
        <v>0</v>
      </c>
    </row>
    <row r="125" spans="1:17" x14ac:dyDescent="0.2">
      <c r="A125" s="150" t="s">
        <v>258</v>
      </c>
      <c r="B125" s="152">
        <f>10000</f>
        <v>10000</v>
      </c>
      <c r="C125" s="153" t="s">
        <v>92</v>
      </c>
      <c r="E125" s="157">
        <f>$H$3</f>
        <v>0.7997557997557998</v>
      </c>
      <c r="F125" s="157">
        <f>$I$3</f>
        <v>0.20024420024420025</v>
      </c>
      <c r="G125" s="157"/>
      <c r="H125" s="157"/>
      <c r="I125" s="157"/>
      <c r="K125" s="155">
        <f t="shared" si="70"/>
        <v>7997.5579975579976</v>
      </c>
      <c r="L125" s="155">
        <f t="shared" si="71"/>
        <v>2002.4420024420026</v>
      </c>
      <c r="M125" s="155">
        <f t="shared" si="72"/>
        <v>0</v>
      </c>
      <c r="N125" s="155">
        <f t="shared" si="73"/>
        <v>0</v>
      </c>
      <c r="O125" s="155">
        <f t="shared" si="74"/>
        <v>0</v>
      </c>
      <c r="P125" s="174"/>
      <c r="Q125" s="156">
        <f t="shared" si="64"/>
        <v>0</v>
      </c>
    </row>
    <row r="126" spans="1:17" x14ac:dyDescent="0.2">
      <c r="A126" s="150" t="s">
        <v>259</v>
      </c>
      <c r="B126" s="152">
        <f>30000</f>
        <v>30000</v>
      </c>
      <c r="C126" s="153" t="s">
        <v>89</v>
      </c>
      <c r="E126" s="161">
        <f t="shared" si="65"/>
        <v>0.67555059732799927</v>
      </c>
      <c r="F126" s="161">
        <f t="shared" si="66"/>
        <v>0.16486993102201086</v>
      </c>
      <c r="G126" s="161">
        <f t="shared" si="67"/>
        <v>0</v>
      </c>
      <c r="H126" s="161">
        <f t="shared" si="68"/>
        <v>0</v>
      </c>
      <c r="I126" s="161">
        <f t="shared" si="69"/>
        <v>0.15957947164999015</v>
      </c>
      <c r="K126" s="155">
        <f t="shared" si="70"/>
        <v>20266.517919839978</v>
      </c>
      <c r="L126" s="155">
        <f t="shared" si="71"/>
        <v>4946.0979306603258</v>
      </c>
      <c r="M126" s="155">
        <f t="shared" si="72"/>
        <v>0</v>
      </c>
      <c r="N126" s="155">
        <f t="shared" si="73"/>
        <v>0</v>
      </c>
      <c r="O126" s="155">
        <f t="shared" si="74"/>
        <v>4787.3841494997041</v>
      </c>
      <c r="P126" s="174"/>
      <c r="Q126" s="156">
        <f t="shared" si="64"/>
        <v>0</v>
      </c>
    </row>
    <row r="127" spans="1:17" x14ac:dyDescent="0.2">
      <c r="A127" s="150" t="s">
        <v>260</v>
      </c>
      <c r="B127" s="158">
        <f>(((((((((((((B113)+(B114))+(B115))+(B116))+(B117))+(B118))+(B119))+(B120))+(B121))+(B122))+(B123))+(B124))+(B125))+(B126)</f>
        <v>390924.16000000003</v>
      </c>
      <c r="E127" s="159" t="s">
        <v>165</v>
      </c>
      <c r="F127" s="159" t="s">
        <v>165</v>
      </c>
      <c r="G127" s="159" t="s">
        <v>165</v>
      </c>
      <c r="H127" s="159" t="s">
        <v>165</v>
      </c>
      <c r="I127" s="159" t="s">
        <v>165</v>
      </c>
      <c r="K127" s="159" t="s">
        <v>165</v>
      </c>
      <c r="L127" s="159" t="s">
        <v>165</v>
      </c>
      <c r="M127" s="159" t="s">
        <v>165</v>
      </c>
      <c r="N127" s="159" t="s">
        <v>165</v>
      </c>
      <c r="O127" s="159" t="s">
        <v>165</v>
      </c>
      <c r="P127" s="174"/>
      <c r="Q127" s="156">
        <f t="shared" si="64"/>
        <v>-390924.16000000003</v>
      </c>
    </row>
    <row r="128" spans="1:17" x14ac:dyDescent="0.2">
      <c r="A128" s="150" t="s">
        <v>261</v>
      </c>
      <c r="B128" s="151"/>
      <c r="P128" s="174"/>
      <c r="Q128" s="156">
        <f t="shared" si="64"/>
        <v>0</v>
      </c>
    </row>
    <row r="129" spans="1:17" x14ac:dyDescent="0.2">
      <c r="A129" s="150" t="s">
        <v>262</v>
      </c>
      <c r="B129" s="152">
        <f>24000</f>
        <v>24000</v>
      </c>
      <c r="C129" s="153" t="s">
        <v>65</v>
      </c>
      <c r="E129" s="161">
        <f t="shared" ref="E129:E140" si="75">$K$3</f>
        <v>0.67555059732799927</v>
      </c>
      <c r="F129" s="161">
        <f t="shared" ref="F129:F140" si="76">$L$3</f>
        <v>0.16486993102201086</v>
      </c>
      <c r="G129" s="161">
        <f t="shared" ref="G129:G140" si="77">$M$3</f>
        <v>0</v>
      </c>
      <c r="H129" s="161">
        <f t="shared" ref="H129:H140" si="78">$N$3</f>
        <v>0</v>
      </c>
      <c r="I129" s="161">
        <f t="shared" ref="I129:I140" si="79">$O$3</f>
        <v>0.15957947164999015</v>
      </c>
      <c r="K129" s="155">
        <f t="shared" ref="K129:K140" si="80">B129*E129</f>
        <v>16213.214335871982</v>
      </c>
      <c r="L129" s="155">
        <f t="shared" ref="L129:L140" si="81">B129*F129</f>
        <v>3956.8783445282606</v>
      </c>
      <c r="M129" s="155">
        <f t="shared" ref="M129:M140" si="82">B129*G129</f>
        <v>0</v>
      </c>
      <c r="N129" s="155">
        <f t="shared" ref="N129:N140" si="83">B129*H129</f>
        <v>0</v>
      </c>
      <c r="O129" s="155">
        <f t="shared" ref="O129:O140" si="84">B129*I129</f>
        <v>3829.9073195997635</v>
      </c>
      <c r="P129" s="174"/>
      <c r="Q129" s="156">
        <f t="shared" si="64"/>
        <v>0</v>
      </c>
    </row>
    <row r="130" spans="1:17" x14ac:dyDescent="0.2">
      <c r="A130" s="150" t="s">
        <v>263</v>
      </c>
      <c r="B130" s="152">
        <f>25200</f>
        <v>25200</v>
      </c>
      <c r="C130" s="153" t="s">
        <v>70</v>
      </c>
      <c r="E130" s="161">
        <f t="shared" si="75"/>
        <v>0.67555059732799927</v>
      </c>
      <c r="F130" s="161">
        <f t="shared" si="76"/>
        <v>0.16486993102201086</v>
      </c>
      <c r="G130" s="161">
        <f t="shared" si="77"/>
        <v>0</v>
      </c>
      <c r="H130" s="161">
        <f t="shared" si="78"/>
        <v>0</v>
      </c>
      <c r="I130" s="161">
        <f t="shared" si="79"/>
        <v>0.15957947164999015</v>
      </c>
      <c r="K130" s="155">
        <f t="shared" si="80"/>
        <v>17023.875052665582</v>
      </c>
      <c r="L130" s="155">
        <f t="shared" si="81"/>
        <v>4154.722261754674</v>
      </c>
      <c r="M130" s="155">
        <f t="shared" si="82"/>
        <v>0</v>
      </c>
      <c r="N130" s="155">
        <f t="shared" si="83"/>
        <v>0</v>
      </c>
      <c r="O130" s="155">
        <f t="shared" si="84"/>
        <v>4021.4026855797515</v>
      </c>
      <c r="P130" s="174"/>
      <c r="Q130" s="156">
        <f t="shared" si="64"/>
        <v>0</v>
      </c>
    </row>
    <row r="131" spans="1:17" x14ac:dyDescent="0.2">
      <c r="A131" s="150" t="s">
        <v>264</v>
      </c>
      <c r="B131" s="152">
        <f>22000</f>
        <v>22000</v>
      </c>
      <c r="C131" s="153" t="s">
        <v>66</v>
      </c>
      <c r="E131" s="161">
        <f t="shared" si="75"/>
        <v>0.67555059732799927</v>
      </c>
      <c r="F131" s="161">
        <f t="shared" si="76"/>
        <v>0.16486993102201086</v>
      </c>
      <c r="G131" s="161">
        <f t="shared" si="77"/>
        <v>0</v>
      </c>
      <c r="H131" s="161">
        <f t="shared" si="78"/>
        <v>0</v>
      </c>
      <c r="I131" s="161">
        <f t="shared" si="79"/>
        <v>0.15957947164999015</v>
      </c>
      <c r="K131" s="155">
        <f t="shared" si="80"/>
        <v>14862.113141215985</v>
      </c>
      <c r="L131" s="155">
        <f t="shared" si="81"/>
        <v>3627.1384824842389</v>
      </c>
      <c r="M131" s="155">
        <f t="shared" si="82"/>
        <v>0</v>
      </c>
      <c r="N131" s="155">
        <f t="shared" si="83"/>
        <v>0</v>
      </c>
      <c r="O131" s="155">
        <f t="shared" si="84"/>
        <v>3510.7483762997831</v>
      </c>
      <c r="P131" s="174"/>
      <c r="Q131" s="156">
        <f t="shared" si="64"/>
        <v>0</v>
      </c>
    </row>
    <row r="132" spans="1:17" x14ac:dyDescent="0.2">
      <c r="A132" s="150" t="s">
        <v>265</v>
      </c>
      <c r="B132" s="152">
        <f>38000</f>
        <v>38000</v>
      </c>
      <c r="C132" s="153" t="s">
        <v>73</v>
      </c>
      <c r="E132" s="161">
        <f t="shared" si="75"/>
        <v>0.67555059732799927</v>
      </c>
      <c r="F132" s="161">
        <f t="shared" si="76"/>
        <v>0.16486993102201086</v>
      </c>
      <c r="G132" s="161">
        <f t="shared" si="77"/>
        <v>0</v>
      </c>
      <c r="H132" s="161">
        <f t="shared" si="78"/>
        <v>0</v>
      </c>
      <c r="I132" s="161">
        <f t="shared" si="79"/>
        <v>0.15957947164999015</v>
      </c>
      <c r="K132" s="155">
        <f t="shared" si="80"/>
        <v>25670.922698463972</v>
      </c>
      <c r="L132" s="155">
        <f t="shared" si="81"/>
        <v>6265.0573788364127</v>
      </c>
      <c r="M132" s="155">
        <f t="shared" si="82"/>
        <v>0</v>
      </c>
      <c r="N132" s="155">
        <f t="shared" si="83"/>
        <v>0</v>
      </c>
      <c r="O132" s="155">
        <f t="shared" si="84"/>
        <v>6064.0199226996256</v>
      </c>
      <c r="P132" s="174"/>
      <c r="Q132" s="156">
        <f t="shared" si="64"/>
        <v>0</v>
      </c>
    </row>
    <row r="133" spans="1:17" x14ac:dyDescent="0.2">
      <c r="A133" s="150" t="s">
        <v>266</v>
      </c>
      <c r="B133" s="152">
        <f>148000</f>
        <v>148000</v>
      </c>
      <c r="C133" s="153" t="s">
        <v>73</v>
      </c>
      <c r="E133" s="161">
        <f t="shared" si="75"/>
        <v>0.67555059732799927</v>
      </c>
      <c r="F133" s="161">
        <f t="shared" si="76"/>
        <v>0.16486993102201086</v>
      </c>
      <c r="G133" s="161">
        <f t="shared" si="77"/>
        <v>0</v>
      </c>
      <c r="H133" s="161">
        <f t="shared" si="78"/>
        <v>0</v>
      </c>
      <c r="I133" s="161">
        <f t="shared" si="79"/>
        <v>0.15957947164999015</v>
      </c>
      <c r="K133" s="155">
        <f t="shared" si="80"/>
        <v>99981.488404543896</v>
      </c>
      <c r="L133" s="155">
        <f t="shared" si="81"/>
        <v>24400.749791257607</v>
      </c>
      <c r="M133" s="155">
        <f t="shared" si="82"/>
        <v>0</v>
      </c>
      <c r="N133" s="155">
        <f t="shared" si="83"/>
        <v>0</v>
      </c>
      <c r="O133" s="155">
        <f t="shared" si="84"/>
        <v>23617.761804198541</v>
      </c>
      <c r="P133" s="174"/>
      <c r="Q133" s="156">
        <f t="shared" si="64"/>
        <v>0</v>
      </c>
    </row>
    <row r="134" spans="1:17" x14ac:dyDescent="0.2">
      <c r="A134" s="150" t="s">
        <v>267</v>
      </c>
      <c r="B134" s="152">
        <f>101200</f>
        <v>101200</v>
      </c>
      <c r="C134" s="153" t="s">
        <v>73</v>
      </c>
      <c r="E134" s="161">
        <f t="shared" si="75"/>
        <v>0.67555059732799927</v>
      </c>
      <c r="F134" s="161">
        <f t="shared" si="76"/>
        <v>0.16486993102201086</v>
      </c>
      <c r="G134" s="161">
        <f t="shared" si="77"/>
        <v>0</v>
      </c>
      <c r="H134" s="161">
        <f t="shared" si="78"/>
        <v>0</v>
      </c>
      <c r="I134" s="161">
        <f t="shared" si="79"/>
        <v>0.15957947164999015</v>
      </c>
      <c r="K134" s="155">
        <f t="shared" si="80"/>
        <v>68365.720449593529</v>
      </c>
      <c r="L134" s="155">
        <f t="shared" si="81"/>
        <v>16684.837019427498</v>
      </c>
      <c r="M134" s="155">
        <f t="shared" si="82"/>
        <v>0</v>
      </c>
      <c r="N134" s="155">
        <f t="shared" si="83"/>
        <v>0</v>
      </c>
      <c r="O134" s="155">
        <f t="shared" si="84"/>
        <v>16149.442530979002</v>
      </c>
      <c r="P134" s="174"/>
      <c r="Q134" s="156">
        <f t="shared" si="64"/>
        <v>0</v>
      </c>
    </row>
    <row r="135" spans="1:17" x14ac:dyDescent="0.2">
      <c r="A135" s="150" t="s">
        <v>268</v>
      </c>
      <c r="B135" s="152">
        <f>5000</f>
        <v>5000</v>
      </c>
      <c r="C135" s="153" t="s">
        <v>73</v>
      </c>
      <c r="E135" s="161">
        <f t="shared" si="75"/>
        <v>0.67555059732799927</v>
      </c>
      <c r="F135" s="161">
        <f t="shared" si="76"/>
        <v>0.16486993102201086</v>
      </c>
      <c r="G135" s="161">
        <f t="shared" si="77"/>
        <v>0</v>
      </c>
      <c r="H135" s="161">
        <f t="shared" si="78"/>
        <v>0</v>
      </c>
      <c r="I135" s="161">
        <f t="shared" si="79"/>
        <v>0.15957947164999015</v>
      </c>
      <c r="K135" s="155">
        <f t="shared" si="80"/>
        <v>3377.7529866399964</v>
      </c>
      <c r="L135" s="155">
        <f t="shared" si="81"/>
        <v>824.3496551100543</v>
      </c>
      <c r="M135" s="155">
        <f t="shared" si="82"/>
        <v>0</v>
      </c>
      <c r="N135" s="155">
        <f t="shared" si="83"/>
        <v>0</v>
      </c>
      <c r="O135" s="155">
        <f t="shared" si="84"/>
        <v>797.89735824995068</v>
      </c>
      <c r="P135" s="174"/>
      <c r="Q135" s="156">
        <f t="shared" si="64"/>
        <v>0</v>
      </c>
    </row>
    <row r="136" spans="1:17" x14ac:dyDescent="0.2">
      <c r="A136" s="150" t="s">
        <v>269</v>
      </c>
      <c r="B136" s="152">
        <f>8000</f>
        <v>8000</v>
      </c>
      <c r="C136" s="153" t="s">
        <v>73</v>
      </c>
      <c r="E136" s="157">
        <f>$H$3</f>
        <v>0.7997557997557998</v>
      </c>
      <c r="F136" s="157">
        <f>$I$3</f>
        <v>0.20024420024420025</v>
      </c>
      <c r="G136" s="157"/>
      <c r="H136" s="157"/>
      <c r="I136" s="157"/>
      <c r="K136" s="155">
        <f t="shared" si="80"/>
        <v>6398.0463980463983</v>
      </c>
      <c r="L136" s="155">
        <f t="shared" si="81"/>
        <v>1601.9536019536019</v>
      </c>
      <c r="M136" s="155">
        <f t="shared" si="82"/>
        <v>0</v>
      </c>
      <c r="N136" s="155">
        <f t="shared" si="83"/>
        <v>0</v>
      </c>
      <c r="O136" s="155">
        <f t="shared" si="84"/>
        <v>0</v>
      </c>
      <c r="P136" s="174"/>
      <c r="Q136" s="156">
        <f t="shared" si="64"/>
        <v>0</v>
      </c>
    </row>
    <row r="137" spans="1:17" x14ac:dyDescent="0.2">
      <c r="A137" s="150" t="s">
        <v>270</v>
      </c>
      <c r="B137" s="152">
        <f>10000</f>
        <v>10000</v>
      </c>
      <c r="C137" s="153" t="s">
        <v>73</v>
      </c>
      <c r="E137" s="161">
        <f t="shared" si="75"/>
        <v>0.67555059732799927</v>
      </c>
      <c r="F137" s="161">
        <f t="shared" si="76"/>
        <v>0.16486993102201086</v>
      </c>
      <c r="G137" s="161">
        <f t="shared" si="77"/>
        <v>0</v>
      </c>
      <c r="H137" s="161">
        <f t="shared" si="78"/>
        <v>0</v>
      </c>
      <c r="I137" s="161">
        <f t="shared" si="79"/>
        <v>0.15957947164999015</v>
      </c>
      <c r="K137" s="155">
        <f t="shared" si="80"/>
        <v>6755.5059732799928</v>
      </c>
      <c r="L137" s="155">
        <f t="shared" si="81"/>
        <v>1648.6993102201086</v>
      </c>
      <c r="M137" s="155">
        <f t="shared" si="82"/>
        <v>0</v>
      </c>
      <c r="N137" s="155">
        <f t="shared" si="83"/>
        <v>0</v>
      </c>
      <c r="O137" s="155">
        <f t="shared" si="84"/>
        <v>1595.7947164999014</v>
      </c>
      <c r="P137" s="174"/>
      <c r="Q137" s="156">
        <f t="shared" si="64"/>
        <v>0</v>
      </c>
    </row>
    <row r="138" spans="1:17" x14ac:dyDescent="0.2">
      <c r="A138" s="150" t="s">
        <v>271</v>
      </c>
      <c r="B138" s="152">
        <f>10000</f>
        <v>10000</v>
      </c>
      <c r="C138" s="153" t="s">
        <v>73</v>
      </c>
      <c r="E138" s="161">
        <f t="shared" si="75"/>
        <v>0.67555059732799927</v>
      </c>
      <c r="F138" s="161">
        <f t="shared" si="76"/>
        <v>0.16486993102201086</v>
      </c>
      <c r="G138" s="161">
        <f t="shared" si="77"/>
        <v>0</v>
      </c>
      <c r="H138" s="161">
        <f t="shared" si="78"/>
        <v>0</v>
      </c>
      <c r="I138" s="161">
        <f t="shared" si="79"/>
        <v>0.15957947164999015</v>
      </c>
      <c r="K138" s="155">
        <f t="shared" si="80"/>
        <v>6755.5059732799928</v>
      </c>
      <c r="L138" s="155">
        <f t="shared" si="81"/>
        <v>1648.6993102201086</v>
      </c>
      <c r="M138" s="155">
        <f t="shared" si="82"/>
        <v>0</v>
      </c>
      <c r="N138" s="155">
        <f t="shared" si="83"/>
        <v>0</v>
      </c>
      <c r="O138" s="155">
        <f t="shared" si="84"/>
        <v>1595.7947164999014</v>
      </c>
      <c r="P138" s="174"/>
      <c r="Q138" s="156">
        <f t="shared" si="64"/>
        <v>0</v>
      </c>
    </row>
    <row r="139" spans="1:17" x14ac:dyDescent="0.2">
      <c r="A139" s="150" t="s">
        <v>272</v>
      </c>
      <c r="B139" s="152">
        <f>45000</f>
        <v>45000</v>
      </c>
      <c r="C139" s="153" t="s">
        <v>73</v>
      </c>
      <c r="E139" s="161">
        <f t="shared" si="75"/>
        <v>0.67555059732799927</v>
      </c>
      <c r="F139" s="161">
        <f t="shared" si="76"/>
        <v>0.16486993102201086</v>
      </c>
      <c r="G139" s="161">
        <f t="shared" si="77"/>
        <v>0</v>
      </c>
      <c r="H139" s="161">
        <f t="shared" si="78"/>
        <v>0</v>
      </c>
      <c r="I139" s="161">
        <f t="shared" si="79"/>
        <v>0.15957947164999015</v>
      </c>
      <c r="K139" s="155">
        <f t="shared" si="80"/>
        <v>30399.776879759967</v>
      </c>
      <c r="L139" s="155">
        <f t="shared" si="81"/>
        <v>7419.1468959904887</v>
      </c>
      <c r="M139" s="155">
        <f t="shared" si="82"/>
        <v>0</v>
      </c>
      <c r="N139" s="155">
        <f t="shared" si="83"/>
        <v>0</v>
      </c>
      <c r="O139" s="155">
        <f t="shared" si="84"/>
        <v>7181.0762242495566</v>
      </c>
      <c r="P139" s="174"/>
      <c r="Q139" s="156">
        <f t="shared" si="64"/>
        <v>0</v>
      </c>
    </row>
    <row r="140" spans="1:17" x14ac:dyDescent="0.2">
      <c r="A140" s="150" t="s">
        <v>273</v>
      </c>
      <c r="B140" s="152">
        <f>64000</f>
        <v>64000</v>
      </c>
      <c r="C140" s="153" t="s">
        <v>86</v>
      </c>
      <c r="E140" s="161">
        <f t="shared" si="75"/>
        <v>0.67555059732799927</v>
      </c>
      <c r="F140" s="161">
        <f t="shared" si="76"/>
        <v>0.16486993102201086</v>
      </c>
      <c r="G140" s="161">
        <f t="shared" si="77"/>
        <v>0</v>
      </c>
      <c r="H140" s="161">
        <f t="shared" si="78"/>
        <v>0</v>
      </c>
      <c r="I140" s="161">
        <f t="shared" si="79"/>
        <v>0.15957947164999015</v>
      </c>
      <c r="K140" s="155">
        <f t="shared" si="80"/>
        <v>43235.238228991955</v>
      </c>
      <c r="L140" s="155">
        <f t="shared" si="81"/>
        <v>10551.675585408695</v>
      </c>
      <c r="M140" s="155">
        <f t="shared" si="82"/>
        <v>0</v>
      </c>
      <c r="N140" s="155">
        <f t="shared" si="83"/>
        <v>0</v>
      </c>
      <c r="O140" s="155">
        <f t="shared" si="84"/>
        <v>10213.08618559937</v>
      </c>
      <c r="P140" s="174"/>
      <c r="Q140" s="156">
        <f t="shared" si="64"/>
        <v>0</v>
      </c>
    </row>
    <row r="141" spans="1:17" x14ac:dyDescent="0.2">
      <c r="A141" s="150" t="s">
        <v>274</v>
      </c>
      <c r="B141" s="158">
        <f>((((((((((((B128)+(B129))+(B130))+(B131))+(B132))+(B133))+(B134))+(B135))+(B136))+(B137))+(B138))+(B139))+(B140)</f>
        <v>500400</v>
      </c>
      <c r="E141" s="159" t="s">
        <v>165</v>
      </c>
      <c r="F141" s="159" t="s">
        <v>165</v>
      </c>
      <c r="G141" s="159" t="s">
        <v>165</v>
      </c>
      <c r="H141" s="159" t="s">
        <v>165</v>
      </c>
      <c r="I141" s="159" t="s">
        <v>165</v>
      </c>
      <c r="K141" s="159" t="s">
        <v>165</v>
      </c>
      <c r="L141" s="159" t="s">
        <v>165</v>
      </c>
      <c r="M141" s="159" t="s">
        <v>165</v>
      </c>
      <c r="N141" s="159" t="s">
        <v>165</v>
      </c>
      <c r="O141" s="159" t="s">
        <v>165</v>
      </c>
      <c r="P141" s="174"/>
      <c r="Q141" s="156">
        <f t="shared" si="64"/>
        <v>-500400</v>
      </c>
    </row>
    <row r="142" spans="1:17" x14ac:dyDescent="0.2">
      <c r="A142" s="150" t="s">
        <v>275</v>
      </c>
      <c r="B142" s="151"/>
      <c r="P142" s="174"/>
      <c r="Q142" s="156">
        <f t="shared" si="64"/>
        <v>0</v>
      </c>
    </row>
    <row r="143" spans="1:17" x14ac:dyDescent="0.2">
      <c r="A143" s="150" t="s">
        <v>357</v>
      </c>
      <c r="B143" s="151"/>
      <c r="P143" s="174"/>
      <c r="Q143" s="156"/>
    </row>
    <row r="144" spans="1:17" x14ac:dyDescent="0.2">
      <c r="A144" s="150" t="s">
        <v>276</v>
      </c>
      <c r="B144" s="152">
        <f>5000</f>
        <v>5000</v>
      </c>
      <c r="C144" s="153" t="s">
        <v>89</v>
      </c>
      <c r="E144" s="161">
        <f t="shared" ref="E144:E150" si="85">$K$3</f>
        <v>0.67555059732799927</v>
      </c>
      <c r="F144" s="161">
        <f t="shared" ref="F144:F150" si="86">$L$3</f>
        <v>0.16486993102201086</v>
      </c>
      <c r="G144" s="161">
        <f t="shared" ref="G144:G150" si="87">$M$3</f>
        <v>0</v>
      </c>
      <c r="H144" s="161">
        <f t="shared" ref="H144:H150" si="88">$N$3</f>
        <v>0</v>
      </c>
      <c r="I144" s="161">
        <f t="shared" ref="I144:I150" si="89">$O$3</f>
        <v>0.15957947164999015</v>
      </c>
      <c r="K144" s="155">
        <f t="shared" ref="K144:K150" si="90">B144*E144</f>
        <v>3377.7529866399964</v>
      </c>
      <c r="L144" s="155">
        <f t="shared" ref="L144:L150" si="91">B144*F144</f>
        <v>824.3496551100543</v>
      </c>
      <c r="M144" s="155">
        <f t="shared" ref="M144:M150" si="92">B144*G144</f>
        <v>0</v>
      </c>
      <c r="N144" s="155">
        <f t="shared" ref="N144:N150" si="93">B144*H144</f>
        <v>0</v>
      </c>
      <c r="O144" s="155">
        <f t="shared" ref="O144:O150" si="94">B144*I144</f>
        <v>797.89735824995068</v>
      </c>
      <c r="P144" s="174"/>
      <c r="Q144" s="156">
        <f t="shared" si="64"/>
        <v>0</v>
      </c>
    </row>
    <row r="145" spans="1:17" x14ac:dyDescent="0.2">
      <c r="A145" s="150" t="s">
        <v>277</v>
      </c>
      <c r="B145" s="152">
        <f>30000</f>
        <v>30000</v>
      </c>
      <c r="C145" s="153" t="s">
        <v>89</v>
      </c>
      <c r="E145" s="161">
        <f t="shared" si="85"/>
        <v>0.67555059732799927</v>
      </c>
      <c r="F145" s="161">
        <f t="shared" si="86"/>
        <v>0.16486993102201086</v>
      </c>
      <c r="G145" s="161">
        <f t="shared" si="87"/>
        <v>0</v>
      </c>
      <c r="H145" s="161">
        <f t="shared" si="88"/>
        <v>0</v>
      </c>
      <c r="I145" s="161">
        <f t="shared" si="89"/>
        <v>0.15957947164999015</v>
      </c>
      <c r="K145" s="155">
        <f t="shared" si="90"/>
        <v>20266.517919839978</v>
      </c>
      <c r="L145" s="155">
        <f t="shared" si="91"/>
        <v>4946.0979306603258</v>
      </c>
      <c r="M145" s="155">
        <f t="shared" si="92"/>
        <v>0</v>
      </c>
      <c r="N145" s="155">
        <f t="shared" si="93"/>
        <v>0</v>
      </c>
      <c r="O145" s="155">
        <f t="shared" si="94"/>
        <v>4787.3841494997041</v>
      </c>
      <c r="P145" s="174"/>
      <c r="Q145" s="156">
        <f t="shared" si="64"/>
        <v>0</v>
      </c>
    </row>
    <row r="146" spans="1:17" x14ac:dyDescent="0.2">
      <c r="A146" s="150" t="s">
        <v>278</v>
      </c>
      <c r="B146" s="152">
        <f>15000</f>
        <v>15000</v>
      </c>
      <c r="C146" s="153" t="s">
        <v>89</v>
      </c>
      <c r="E146" s="161">
        <f t="shared" si="85"/>
        <v>0.67555059732799927</v>
      </c>
      <c r="F146" s="161">
        <f t="shared" si="86"/>
        <v>0.16486993102201086</v>
      </c>
      <c r="G146" s="161">
        <f t="shared" si="87"/>
        <v>0</v>
      </c>
      <c r="H146" s="161">
        <f t="shared" si="88"/>
        <v>0</v>
      </c>
      <c r="I146" s="161">
        <f t="shared" si="89"/>
        <v>0.15957947164999015</v>
      </c>
      <c r="K146" s="155">
        <f t="shared" si="90"/>
        <v>10133.258959919989</v>
      </c>
      <c r="L146" s="155">
        <f t="shared" si="91"/>
        <v>2473.0489653301629</v>
      </c>
      <c r="M146" s="155">
        <f t="shared" si="92"/>
        <v>0</v>
      </c>
      <c r="N146" s="155">
        <f t="shared" si="93"/>
        <v>0</v>
      </c>
      <c r="O146" s="155">
        <f t="shared" si="94"/>
        <v>2393.6920747498521</v>
      </c>
      <c r="P146" s="174"/>
      <c r="Q146" s="156">
        <f t="shared" si="64"/>
        <v>0</v>
      </c>
    </row>
    <row r="147" spans="1:17" x14ac:dyDescent="0.2">
      <c r="A147" s="150" t="s">
        <v>279</v>
      </c>
      <c r="B147" s="152">
        <f>15000</f>
        <v>15000</v>
      </c>
      <c r="C147" s="153" t="s">
        <v>89</v>
      </c>
      <c r="E147" s="161">
        <f t="shared" si="85"/>
        <v>0.67555059732799927</v>
      </c>
      <c r="F147" s="161">
        <f t="shared" si="86"/>
        <v>0.16486993102201086</v>
      </c>
      <c r="G147" s="161">
        <f t="shared" si="87"/>
        <v>0</v>
      </c>
      <c r="H147" s="161">
        <f t="shared" si="88"/>
        <v>0</v>
      </c>
      <c r="I147" s="161">
        <f t="shared" si="89"/>
        <v>0.15957947164999015</v>
      </c>
      <c r="K147" s="155">
        <f t="shared" si="90"/>
        <v>10133.258959919989</v>
      </c>
      <c r="L147" s="155">
        <f t="shared" si="91"/>
        <v>2473.0489653301629</v>
      </c>
      <c r="M147" s="155">
        <f t="shared" si="92"/>
        <v>0</v>
      </c>
      <c r="N147" s="155">
        <f t="shared" si="93"/>
        <v>0</v>
      </c>
      <c r="O147" s="155">
        <f t="shared" si="94"/>
        <v>2393.6920747498521</v>
      </c>
      <c r="P147" s="174"/>
      <c r="Q147" s="156">
        <f t="shared" si="64"/>
        <v>0</v>
      </c>
    </row>
    <row r="148" spans="1:17" x14ac:dyDescent="0.2">
      <c r="A148" s="150" t="s">
        <v>358</v>
      </c>
      <c r="B148" s="158">
        <f>((((B143)+(B144))+(B145))+(B146))+(B147)</f>
        <v>65000</v>
      </c>
      <c r="C148" s="153"/>
      <c r="E148" s="161"/>
      <c r="F148" s="161"/>
      <c r="G148" s="161"/>
      <c r="H148" s="161"/>
      <c r="I148" s="161"/>
      <c r="K148" s="155"/>
      <c r="L148" s="155"/>
      <c r="M148" s="155"/>
      <c r="N148" s="155"/>
      <c r="O148" s="155"/>
      <c r="P148" s="174"/>
      <c r="Q148" s="156"/>
    </row>
    <row r="149" spans="1:17" x14ac:dyDescent="0.2">
      <c r="A149" s="150" t="s">
        <v>280</v>
      </c>
      <c r="B149" s="152">
        <f>2000</f>
        <v>2000</v>
      </c>
      <c r="C149" s="153" t="s">
        <v>89</v>
      </c>
      <c r="E149" s="161">
        <f t="shared" si="85"/>
        <v>0.67555059732799927</v>
      </c>
      <c r="F149" s="161">
        <f t="shared" si="86"/>
        <v>0.16486993102201086</v>
      </c>
      <c r="G149" s="161">
        <f t="shared" si="87"/>
        <v>0</v>
      </c>
      <c r="H149" s="161">
        <f t="shared" si="88"/>
        <v>0</v>
      </c>
      <c r="I149" s="161">
        <f t="shared" si="89"/>
        <v>0.15957947164999015</v>
      </c>
      <c r="K149" s="155">
        <f t="shared" si="90"/>
        <v>1351.1011946559986</v>
      </c>
      <c r="L149" s="155">
        <f t="shared" si="91"/>
        <v>329.73986204402172</v>
      </c>
      <c r="M149" s="155">
        <f t="shared" si="92"/>
        <v>0</v>
      </c>
      <c r="N149" s="155">
        <f t="shared" si="93"/>
        <v>0</v>
      </c>
      <c r="O149" s="155">
        <f t="shared" si="94"/>
        <v>319.15894329998031</v>
      </c>
      <c r="P149" s="174"/>
      <c r="Q149" s="156">
        <f t="shared" si="64"/>
        <v>0</v>
      </c>
    </row>
    <row r="150" spans="1:17" x14ac:dyDescent="0.2">
      <c r="A150" s="150" t="s">
        <v>281</v>
      </c>
      <c r="B150" s="152">
        <f>1000</f>
        <v>1000</v>
      </c>
      <c r="C150" s="153" t="s">
        <v>76</v>
      </c>
      <c r="E150" s="161">
        <f t="shared" si="85"/>
        <v>0.67555059732799927</v>
      </c>
      <c r="F150" s="161">
        <f t="shared" si="86"/>
        <v>0.16486993102201086</v>
      </c>
      <c r="G150" s="161">
        <f t="shared" si="87"/>
        <v>0</v>
      </c>
      <c r="H150" s="161">
        <f t="shared" si="88"/>
        <v>0</v>
      </c>
      <c r="I150" s="161">
        <f t="shared" si="89"/>
        <v>0.15957947164999015</v>
      </c>
      <c r="K150" s="155">
        <f t="shared" si="90"/>
        <v>675.5505973279993</v>
      </c>
      <c r="L150" s="155">
        <f t="shared" si="91"/>
        <v>164.86993102201086</v>
      </c>
      <c r="M150" s="155">
        <f t="shared" si="92"/>
        <v>0</v>
      </c>
      <c r="N150" s="155">
        <f t="shared" si="93"/>
        <v>0</v>
      </c>
      <c r="O150" s="155">
        <f t="shared" si="94"/>
        <v>159.57947164999015</v>
      </c>
      <c r="P150" s="174"/>
      <c r="Q150" s="156">
        <f t="shared" si="64"/>
        <v>0</v>
      </c>
    </row>
    <row r="151" spans="1:17" x14ac:dyDescent="0.2">
      <c r="A151" s="150" t="s">
        <v>282</v>
      </c>
      <c r="B151" s="158">
        <f>(((B142)+(B148))+(B149))+(B150)</f>
        <v>68000</v>
      </c>
      <c r="C151" s="153"/>
      <c r="E151" s="159" t="s">
        <v>165</v>
      </c>
      <c r="F151" s="159" t="s">
        <v>165</v>
      </c>
      <c r="G151" s="159" t="s">
        <v>165</v>
      </c>
      <c r="H151" s="159" t="s">
        <v>165</v>
      </c>
      <c r="I151" s="159" t="s">
        <v>165</v>
      </c>
      <c r="K151" s="159" t="s">
        <v>165</v>
      </c>
      <c r="L151" s="159" t="s">
        <v>165</v>
      </c>
      <c r="M151" s="159" t="s">
        <v>165</v>
      </c>
      <c r="N151" s="159" t="s">
        <v>165</v>
      </c>
      <c r="O151" s="159" t="s">
        <v>165</v>
      </c>
      <c r="P151" s="174"/>
      <c r="Q151" s="156">
        <f t="shared" si="64"/>
        <v>-68000</v>
      </c>
    </row>
    <row r="152" spans="1:17" x14ac:dyDescent="0.2">
      <c r="A152" s="150" t="s">
        <v>283</v>
      </c>
      <c r="B152" s="151"/>
      <c r="C152" s="153"/>
      <c r="P152" s="174"/>
      <c r="Q152" s="156">
        <f t="shared" si="64"/>
        <v>0</v>
      </c>
    </row>
    <row r="153" spans="1:17" x14ac:dyDescent="0.2">
      <c r="A153" s="150" t="s">
        <v>284</v>
      </c>
      <c r="B153" s="152">
        <f>25000</f>
        <v>25000</v>
      </c>
      <c r="C153" s="153" t="s">
        <v>90</v>
      </c>
      <c r="E153" s="161">
        <f t="shared" ref="E153" si="95">$K$3</f>
        <v>0.67555059732799927</v>
      </c>
      <c r="F153" s="161">
        <f t="shared" ref="F153" si="96">$L$3</f>
        <v>0.16486993102201086</v>
      </c>
      <c r="G153" s="161">
        <f t="shared" ref="G153" si="97">$M$3</f>
        <v>0</v>
      </c>
      <c r="H153" s="161">
        <f t="shared" ref="H153" si="98">$N$3</f>
        <v>0</v>
      </c>
      <c r="I153" s="161">
        <f t="shared" ref="I153" si="99">$O$3</f>
        <v>0.15957947164999015</v>
      </c>
      <c r="K153" s="155">
        <f t="shared" ref="K153:K154" si="100">B153*E153</f>
        <v>16888.764933199982</v>
      </c>
      <c r="L153" s="155">
        <f t="shared" ref="L153:L154" si="101">B153*F153</f>
        <v>4121.7482755502715</v>
      </c>
      <c r="M153" s="155">
        <f t="shared" ref="M153:M154" si="102">B153*G153</f>
        <v>0</v>
      </c>
      <c r="N153" s="155">
        <f t="shared" ref="N153:N154" si="103">B153*H153</f>
        <v>0</v>
      </c>
      <c r="O153" s="155">
        <f t="shared" ref="O153:O154" si="104">B153*I153</f>
        <v>3989.4867912497534</v>
      </c>
      <c r="P153" s="174"/>
      <c r="Q153" s="156">
        <f t="shared" si="64"/>
        <v>0</v>
      </c>
    </row>
    <row r="154" spans="1:17" x14ac:dyDescent="0.2">
      <c r="A154" s="150" t="s">
        <v>285</v>
      </c>
      <c r="B154" s="152">
        <f>15000</f>
        <v>15000</v>
      </c>
      <c r="C154" s="153" t="s">
        <v>91</v>
      </c>
      <c r="E154" s="157">
        <f>$H$3</f>
        <v>0.7997557997557998</v>
      </c>
      <c r="F154" s="157">
        <f>$I$3</f>
        <v>0.20024420024420025</v>
      </c>
      <c r="G154" s="157"/>
      <c r="H154" s="157"/>
      <c r="I154" s="157"/>
      <c r="K154" s="155">
        <f t="shared" si="100"/>
        <v>11996.336996336997</v>
      </c>
      <c r="L154" s="155">
        <f t="shared" si="101"/>
        <v>3003.663003663004</v>
      </c>
      <c r="M154" s="155">
        <f t="shared" si="102"/>
        <v>0</v>
      </c>
      <c r="N154" s="155">
        <f t="shared" si="103"/>
        <v>0</v>
      </c>
      <c r="O154" s="155">
        <f t="shared" si="104"/>
        <v>0</v>
      </c>
      <c r="P154" s="174"/>
      <c r="Q154" s="156">
        <f t="shared" si="64"/>
        <v>0</v>
      </c>
    </row>
    <row r="155" spans="1:17" x14ac:dyDescent="0.2">
      <c r="A155" s="150" t="s">
        <v>286</v>
      </c>
      <c r="B155" s="158">
        <f>((B152)+(B153))+(B154)</f>
        <v>40000</v>
      </c>
      <c r="C155" s="153"/>
      <c r="E155" s="159" t="s">
        <v>165</v>
      </c>
      <c r="F155" s="159" t="s">
        <v>165</v>
      </c>
      <c r="G155" s="159" t="s">
        <v>165</v>
      </c>
      <c r="H155" s="159" t="s">
        <v>165</v>
      </c>
      <c r="I155" s="159" t="s">
        <v>165</v>
      </c>
      <c r="K155" s="159" t="s">
        <v>165</v>
      </c>
      <c r="L155" s="159" t="s">
        <v>165</v>
      </c>
      <c r="M155" s="159" t="s">
        <v>165</v>
      </c>
      <c r="N155" s="159" t="s">
        <v>165</v>
      </c>
      <c r="O155" s="159" t="s">
        <v>165</v>
      </c>
      <c r="P155" s="174"/>
      <c r="Q155" s="156">
        <f t="shared" si="64"/>
        <v>-40000</v>
      </c>
    </row>
    <row r="156" spans="1:17" x14ac:dyDescent="0.2">
      <c r="A156" s="150" t="s">
        <v>287</v>
      </c>
      <c r="B156" s="151"/>
      <c r="C156" s="153"/>
      <c r="P156" s="174"/>
      <c r="Q156" s="156">
        <f t="shared" si="64"/>
        <v>0</v>
      </c>
    </row>
    <row r="157" spans="1:17" x14ac:dyDescent="0.2">
      <c r="A157" s="150" t="s">
        <v>288</v>
      </c>
      <c r="B157" s="152">
        <f>2500</f>
        <v>2500</v>
      </c>
      <c r="C157" s="153" t="s">
        <v>25</v>
      </c>
      <c r="E157" s="161">
        <f t="shared" ref="E157" si="105">$K$3</f>
        <v>0.67555059732799927</v>
      </c>
      <c r="F157" s="161">
        <f t="shared" ref="F157" si="106">$L$3</f>
        <v>0.16486993102201086</v>
      </c>
      <c r="G157" s="161">
        <f t="shared" ref="G157" si="107">$M$3</f>
        <v>0</v>
      </c>
      <c r="H157" s="161">
        <f t="shared" ref="H157" si="108">$N$3</f>
        <v>0</v>
      </c>
      <c r="I157" s="161">
        <f t="shared" ref="I157" si="109">$O$3</f>
        <v>0.15957947164999015</v>
      </c>
      <c r="K157" s="155">
        <f t="shared" ref="K157" si="110">B157*E157</f>
        <v>1688.8764933199982</v>
      </c>
      <c r="L157" s="155">
        <f t="shared" ref="L157" si="111">B157*F157</f>
        <v>412.17482755502715</v>
      </c>
      <c r="M157" s="155">
        <f t="shared" ref="M157" si="112">B157*G157</f>
        <v>0</v>
      </c>
      <c r="N157" s="155">
        <f t="shared" ref="N157" si="113">B157*H157</f>
        <v>0</v>
      </c>
      <c r="O157" s="155">
        <f t="shared" ref="O157" si="114">B157*I157</f>
        <v>398.94867912497534</v>
      </c>
      <c r="P157" s="174"/>
      <c r="Q157" s="156">
        <f t="shared" si="64"/>
        <v>0</v>
      </c>
    </row>
    <row r="158" spans="1:17" x14ac:dyDescent="0.2">
      <c r="A158" s="150" t="s">
        <v>289</v>
      </c>
      <c r="B158" s="158">
        <f>(B156)+(B157)</f>
        <v>2500</v>
      </c>
      <c r="E158" s="159" t="s">
        <v>165</v>
      </c>
      <c r="F158" s="159" t="s">
        <v>165</v>
      </c>
      <c r="G158" s="159" t="s">
        <v>165</v>
      </c>
      <c r="H158" s="159" t="s">
        <v>165</v>
      </c>
      <c r="I158" s="159" t="s">
        <v>165</v>
      </c>
      <c r="K158" s="159" t="s">
        <v>165</v>
      </c>
      <c r="L158" s="159" t="s">
        <v>165</v>
      </c>
      <c r="M158" s="159" t="s">
        <v>165</v>
      </c>
      <c r="N158" s="159" t="s">
        <v>165</v>
      </c>
      <c r="O158" s="159" t="s">
        <v>165</v>
      </c>
      <c r="P158" s="174"/>
      <c r="Q158" s="156">
        <f t="shared" si="64"/>
        <v>-2500</v>
      </c>
    </row>
    <row r="159" spans="1:17" x14ac:dyDescent="0.2">
      <c r="A159" s="150" t="s">
        <v>290</v>
      </c>
      <c r="B159" s="151"/>
      <c r="P159" s="174"/>
      <c r="Q159" s="156">
        <f t="shared" si="64"/>
        <v>0</v>
      </c>
    </row>
    <row r="160" spans="1:17" x14ac:dyDescent="0.2">
      <c r="A160" s="150" t="s">
        <v>291</v>
      </c>
      <c r="B160" s="152">
        <f>45000</f>
        <v>45000</v>
      </c>
      <c r="C160" s="153" t="s">
        <v>77</v>
      </c>
      <c r="E160" s="157">
        <f t="shared" ref="E160:E178" si="115">$H$3</f>
        <v>0.7997557997557998</v>
      </c>
      <c r="F160" s="157">
        <f t="shared" ref="F160:F178" si="116">$I$3</f>
        <v>0.20024420024420025</v>
      </c>
      <c r="G160" s="157"/>
      <c r="H160" s="157"/>
      <c r="I160" s="157"/>
      <c r="K160" s="155">
        <f t="shared" ref="K160:K178" si="117">B160*E160</f>
        <v>35989.010989010989</v>
      </c>
      <c r="L160" s="155">
        <f t="shared" ref="L160:L178" si="118">B160*F160</f>
        <v>9010.9890109890111</v>
      </c>
      <c r="M160" s="155">
        <f t="shared" ref="M160:M178" si="119">B160*G160</f>
        <v>0</v>
      </c>
      <c r="N160" s="155">
        <f t="shared" ref="N160:N178" si="120">B160*H160</f>
        <v>0</v>
      </c>
      <c r="O160" s="155">
        <f t="shared" ref="O160:O178" si="121">B160*I160</f>
        <v>0</v>
      </c>
      <c r="P160" s="174"/>
      <c r="Q160" s="156">
        <f t="shared" si="64"/>
        <v>0</v>
      </c>
    </row>
    <row r="161" spans="1:17" x14ac:dyDescent="0.2">
      <c r="A161" s="150" t="s">
        <v>292</v>
      </c>
      <c r="B161" s="152">
        <f>50000</f>
        <v>50000</v>
      </c>
      <c r="C161" s="153" t="s">
        <v>77</v>
      </c>
      <c r="E161" s="157">
        <f t="shared" si="115"/>
        <v>0.7997557997557998</v>
      </c>
      <c r="F161" s="157">
        <f t="shared" si="116"/>
        <v>0.20024420024420025</v>
      </c>
      <c r="G161" s="157"/>
      <c r="H161" s="157"/>
      <c r="I161" s="157"/>
      <c r="K161" s="155">
        <f t="shared" si="117"/>
        <v>39987.789987789991</v>
      </c>
      <c r="L161" s="155">
        <f t="shared" si="118"/>
        <v>10012.210012210013</v>
      </c>
      <c r="M161" s="155">
        <f t="shared" si="119"/>
        <v>0</v>
      </c>
      <c r="N161" s="155">
        <f t="shared" si="120"/>
        <v>0</v>
      </c>
      <c r="O161" s="155">
        <f t="shared" si="121"/>
        <v>0</v>
      </c>
      <c r="P161" s="174"/>
      <c r="Q161" s="156">
        <f t="shared" si="64"/>
        <v>0</v>
      </c>
    </row>
    <row r="162" spans="1:17" x14ac:dyDescent="0.2">
      <c r="A162" s="150" t="s">
        <v>293</v>
      </c>
      <c r="B162" s="152">
        <f>24000</f>
        <v>24000</v>
      </c>
      <c r="C162" s="153" t="s">
        <v>77</v>
      </c>
      <c r="E162" s="157">
        <f t="shared" si="115"/>
        <v>0.7997557997557998</v>
      </c>
      <c r="F162" s="157">
        <f t="shared" si="116"/>
        <v>0.20024420024420025</v>
      </c>
      <c r="G162" s="157"/>
      <c r="H162" s="157"/>
      <c r="I162" s="157"/>
      <c r="K162" s="155">
        <f t="shared" si="117"/>
        <v>19194.139194139196</v>
      </c>
      <c r="L162" s="155">
        <f t="shared" si="118"/>
        <v>4805.8608058608061</v>
      </c>
      <c r="M162" s="155">
        <f t="shared" si="119"/>
        <v>0</v>
      </c>
      <c r="N162" s="155">
        <f t="shared" si="120"/>
        <v>0</v>
      </c>
      <c r="O162" s="155">
        <f t="shared" si="121"/>
        <v>0</v>
      </c>
      <c r="P162" s="174"/>
      <c r="Q162" s="156">
        <f t="shared" si="64"/>
        <v>0</v>
      </c>
    </row>
    <row r="163" spans="1:17" x14ac:dyDescent="0.2">
      <c r="A163" s="150" t="s">
        <v>294</v>
      </c>
      <c r="B163" s="152">
        <f>30000</f>
        <v>30000</v>
      </c>
      <c r="C163" s="153" t="s">
        <v>77</v>
      </c>
      <c r="E163" s="157">
        <f t="shared" si="115"/>
        <v>0.7997557997557998</v>
      </c>
      <c r="F163" s="157">
        <f t="shared" si="116"/>
        <v>0.20024420024420025</v>
      </c>
      <c r="G163" s="157"/>
      <c r="H163" s="157"/>
      <c r="I163" s="157"/>
      <c r="K163" s="155">
        <f t="shared" si="117"/>
        <v>23992.673992673994</v>
      </c>
      <c r="L163" s="155">
        <f t="shared" si="118"/>
        <v>6007.326007326008</v>
      </c>
      <c r="M163" s="155">
        <f t="shared" si="119"/>
        <v>0</v>
      </c>
      <c r="N163" s="155">
        <f t="shared" si="120"/>
        <v>0</v>
      </c>
      <c r="O163" s="155">
        <f t="shared" si="121"/>
        <v>0</v>
      </c>
      <c r="P163" s="174"/>
      <c r="Q163" s="156">
        <f t="shared" si="64"/>
        <v>0</v>
      </c>
    </row>
    <row r="164" spans="1:17" x14ac:dyDescent="0.2">
      <c r="A164" s="150" t="s">
        <v>295</v>
      </c>
      <c r="B164" s="152">
        <f>6000</f>
        <v>6000</v>
      </c>
      <c r="C164" s="153" t="s">
        <v>77</v>
      </c>
      <c r="E164" s="157">
        <f t="shared" si="115"/>
        <v>0.7997557997557998</v>
      </c>
      <c r="F164" s="157">
        <f t="shared" si="116"/>
        <v>0.20024420024420025</v>
      </c>
      <c r="G164" s="157"/>
      <c r="H164" s="157"/>
      <c r="I164" s="157"/>
      <c r="K164" s="155">
        <f t="shared" si="117"/>
        <v>4798.5347985347989</v>
      </c>
      <c r="L164" s="155">
        <f t="shared" si="118"/>
        <v>1201.4652014652015</v>
      </c>
      <c r="M164" s="155">
        <f t="shared" si="119"/>
        <v>0</v>
      </c>
      <c r="N164" s="155">
        <f t="shared" si="120"/>
        <v>0</v>
      </c>
      <c r="O164" s="155">
        <f t="shared" si="121"/>
        <v>0</v>
      </c>
      <c r="P164" s="174"/>
      <c r="Q164" s="156">
        <f t="shared" si="64"/>
        <v>0</v>
      </c>
    </row>
    <row r="165" spans="1:17" x14ac:dyDescent="0.2">
      <c r="A165" s="150" t="s">
        <v>359</v>
      </c>
      <c r="B165" s="152">
        <f>18000</f>
        <v>18000</v>
      </c>
      <c r="C165" s="153" t="s">
        <v>77</v>
      </c>
      <c r="E165" s="157">
        <f t="shared" si="115"/>
        <v>0.7997557997557998</v>
      </c>
      <c r="F165" s="157">
        <f t="shared" si="116"/>
        <v>0.20024420024420025</v>
      </c>
      <c r="G165" s="157"/>
      <c r="H165" s="157"/>
      <c r="I165" s="157"/>
      <c r="K165" s="155">
        <f t="shared" si="117"/>
        <v>14395.604395604396</v>
      </c>
      <c r="L165" s="155">
        <f t="shared" si="118"/>
        <v>3604.3956043956046</v>
      </c>
      <c r="M165" s="155">
        <f t="shared" si="119"/>
        <v>0</v>
      </c>
      <c r="N165" s="155">
        <f t="shared" si="120"/>
        <v>0</v>
      </c>
      <c r="O165" s="155">
        <f t="shared" si="121"/>
        <v>0</v>
      </c>
      <c r="P165" s="174"/>
      <c r="Q165" s="156">
        <f t="shared" si="64"/>
        <v>0</v>
      </c>
    </row>
    <row r="166" spans="1:17" x14ac:dyDescent="0.2">
      <c r="A166" s="150" t="s">
        <v>360</v>
      </c>
      <c r="B166" s="152">
        <f>33000</f>
        <v>33000</v>
      </c>
      <c r="C166" s="153" t="s">
        <v>84</v>
      </c>
      <c r="E166" s="157">
        <f t="shared" si="115"/>
        <v>0.7997557997557998</v>
      </c>
      <c r="F166" s="157">
        <f t="shared" si="116"/>
        <v>0.20024420024420025</v>
      </c>
      <c r="G166" s="157"/>
      <c r="H166" s="157"/>
      <c r="I166" s="157"/>
      <c r="K166" s="155">
        <f t="shared" si="117"/>
        <v>26391.941391941393</v>
      </c>
      <c r="L166" s="155">
        <f t="shared" si="118"/>
        <v>6608.0586080586081</v>
      </c>
      <c r="M166" s="155">
        <f t="shared" si="119"/>
        <v>0</v>
      </c>
      <c r="N166" s="155">
        <f t="shared" si="120"/>
        <v>0</v>
      </c>
      <c r="O166" s="155">
        <f t="shared" si="121"/>
        <v>0</v>
      </c>
      <c r="P166" s="174"/>
      <c r="Q166" s="156">
        <f t="shared" si="64"/>
        <v>0</v>
      </c>
    </row>
    <row r="167" spans="1:17" x14ac:dyDescent="0.2">
      <c r="A167" s="150" t="s">
        <v>296</v>
      </c>
      <c r="B167" s="152">
        <f>60000</f>
        <v>60000</v>
      </c>
      <c r="C167" s="153" t="s">
        <v>85</v>
      </c>
      <c r="E167" s="157">
        <f t="shared" si="115"/>
        <v>0.7997557997557998</v>
      </c>
      <c r="F167" s="157">
        <f t="shared" si="116"/>
        <v>0.20024420024420025</v>
      </c>
      <c r="G167" s="157"/>
      <c r="H167" s="157"/>
      <c r="I167" s="157"/>
      <c r="K167" s="155">
        <f t="shared" si="117"/>
        <v>47985.347985347988</v>
      </c>
      <c r="L167" s="155">
        <f t="shared" si="118"/>
        <v>12014.652014652016</v>
      </c>
      <c r="M167" s="155">
        <f t="shared" si="119"/>
        <v>0</v>
      </c>
      <c r="N167" s="155">
        <f t="shared" si="120"/>
        <v>0</v>
      </c>
      <c r="O167" s="155">
        <f t="shared" si="121"/>
        <v>0</v>
      </c>
      <c r="P167" s="174"/>
      <c r="Q167" s="156">
        <f t="shared" si="64"/>
        <v>0</v>
      </c>
    </row>
    <row r="168" spans="1:17" x14ac:dyDescent="0.2">
      <c r="A168" s="150" t="s">
        <v>297</v>
      </c>
      <c r="B168" s="152">
        <f>72000</f>
        <v>72000</v>
      </c>
      <c r="C168" s="153" t="s">
        <v>77</v>
      </c>
      <c r="E168" s="157">
        <f t="shared" si="115"/>
        <v>0.7997557997557998</v>
      </c>
      <c r="F168" s="157">
        <f t="shared" si="116"/>
        <v>0.20024420024420025</v>
      </c>
      <c r="G168" s="157"/>
      <c r="H168" s="157"/>
      <c r="I168" s="157"/>
      <c r="K168" s="155">
        <f t="shared" si="117"/>
        <v>57582.417582417584</v>
      </c>
      <c r="L168" s="155">
        <f t="shared" si="118"/>
        <v>14417.582417582418</v>
      </c>
      <c r="M168" s="155">
        <f t="shared" si="119"/>
        <v>0</v>
      </c>
      <c r="N168" s="155">
        <f t="shared" si="120"/>
        <v>0</v>
      </c>
      <c r="O168" s="155">
        <f t="shared" si="121"/>
        <v>0</v>
      </c>
      <c r="P168" s="174"/>
      <c r="Q168" s="156">
        <f t="shared" si="64"/>
        <v>0</v>
      </c>
    </row>
    <row r="169" spans="1:17" x14ac:dyDescent="0.2">
      <c r="A169" s="150" t="s">
        <v>298</v>
      </c>
      <c r="B169" s="152">
        <f>6000</f>
        <v>6000</v>
      </c>
      <c r="C169" s="153" t="s">
        <v>77</v>
      </c>
      <c r="E169" s="157">
        <f t="shared" si="115"/>
        <v>0.7997557997557998</v>
      </c>
      <c r="F169" s="157">
        <f t="shared" si="116"/>
        <v>0.20024420024420025</v>
      </c>
      <c r="G169" s="157"/>
      <c r="H169" s="157"/>
      <c r="I169" s="157"/>
      <c r="K169" s="155">
        <f t="shared" si="117"/>
        <v>4798.5347985347989</v>
      </c>
      <c r="L169" s="155">
        <f t="shared" si="118"/>
        <v>1201.4652014652015</v>
      </c>
      <c r="M169" s="155">
        <f t="shared" si="119"/>
        <v>0</v>
      </c>
      <c r="N169" s="155">
        <f t="shared" si="120"/>
        <v>0</v>
      </c>
      <c r="O169" s="155">
        <f t="shared" si="121"/>
        <v>0</v>
      </c>
      <c r="P169" s="174"/>
      <c r="Q169" s="156">
        <f t="shared" si="64"/>
        <v>0</v>
      </c>
    </row>
    <row r="170" spans="1:17" x14ac:dyDescent="0.2">
      <c r="A170" s="150" t="s">
        <v>299</v>
      </c>
      <c r="B170" s="152">
        <f>15000</f>
        <v>15000</v>
      </c>
      <c r="C170" s="153" t="s">
        <v>77</v>
      </c>
      <c r="E170" s="157">
        <f t="shared" si="115"/>
        <v>0.7997557997557998</v>
      </c>
      <c r="F170" s="157">
        <f t="shared" si="116"/>
        <v>0.20024420024420025</v>
      </c>
      <c r="G170" s="157"/>
      <c r="H170" s="157"/>
      <c r="I170" s="157"/>
      <c r="K170" s="155">
        <f t="shared" si="117"/>
        <v>11996.336996336997</v>
      </c>
      <c r="L170" s="155">
        <f t="shared" si="118"/>
        <v>3003.663003663004</v>
      </c>
      <c r="M170" s="155">
        <f t="shared" si="119"/>
        <v>0</v>
      </c>
      <c r="N170" s="155">
        <f t="shared" si="120"/>
        <v>0</v>
      </c>
      <c r="O170" s="155">
        <f t="shared" si="121"/>
        <v>0</v>
      </c>
      <c r="P170" s="174"/>
      <c r="Q170" s="156">
        <f t="shared" si="64"/>
        <v>0</v>
      </c>
    </row>
    <row r="171" spans="1:17" x14ac:dyDescent="0.2">
      <c r="A171" s="150" t="s">
        <v>300</v>
      </c>
      <c r="B171" s="152">
        <f>27000</f>
        <v>27000</v>
      </c>
      <c r="C171" s="153" t="s">
        <v>77</v>
      </c>
      <c r="E171" s="157">
        <f t="shared" si="115"/>
        <v>0.7997557997557998</v>
      </c>
      <c r="F171" s="157">
        <f t="shared" si="116"/>
        <v>0.20024420024420025</v>
      </c>
      <c r="G171" s="157"/>
      <c r="H171" s="157"/>
      <c r="I171" s="157"/>
      <c r="K171" s="155">
        <f t="shared" si="117"/>
        <v>21593.406593406595</v>
      </c>
      <c r="L171" s="155">
        <f t="shared" si="118"/>
        <v>5406.5934065934071</v>
      </c>
      <c r="M171" s="155">
        <f t="shared" si="119"/>
        <v>0</v>
      </c>
      <c r="N171" s="155">
        <f t="shared" si="120"/>
        <v>0</v>
      </c>
      <c r="O171" s="155">
        <f t="shared" si="121"/>
        <v>0</v>
      </c>
      <c r="P171" s="174"/>
      <c r="Q171" s="156">
        <f t="shared" si="64"/>
        <v>0</v>
      </c>
    </row>
    <row r="172" spans="1:17" x14ac:dyDescent="0.2">
      <c r="A172" s="150" t="s">
        <v>361</v>
      </c>
      <c r="B172" s="152">
        <f>15000</f>
        <v>15000</v>
      </c>
      <c r="C172" s="153" t="s">
        <v>77</v>
      </c>
      <c r="E172" s="157">
        <f t="shared" si="115"/>
        <v>0.7997557997557998</v>
      </c>
      <c r="F172" s="157">
        <f t="shared" si="116"/>
        <v>0.20024420024420025</v>
      </c>
      <c r="G172" s="157"/>
      <c r="H172" s="157"/>
      <c r="I172" s="157"/>
      <c r="K172" s="155">
        <f t="shared" si="117"/>
        <v>11996.336996336997</v>
      </c>
      <c r="L172" s="155">
        <f t="shared" si="118"/>
        <v>3003.663003663004</v>
      </c>
      <c r="M172" s="155">
        <f t="shared" si="119"/>
        <v>0</v>
      </c>
      <c r="N172" s="155">
        <f t="shared" si="120"/>
        <v>0</v>
      </c>
      <c r="O172" s="155">
        <f t="shared" si="121"/>
        <v>0</v>
      </c>
      <c r="P172" s="174"/>
      <c r="Q172" s="156">
        <f t="shared" si="64"/>
        <v>0</v>
      </c>
    </row>
    <row r="173" spans="1:17" x14ac:dyDescent="0.2">
      <c r="A173" s="150" t="s">
        <v>301</v>
      </c>
      <c r="B173" s="152">
        <f>9000</f>
        <v>9000</v>
      </c>
      <c r="C173" s="153" t="s">
        <v>77</v>
      </c>
      <c r="E173" s="157">
        <f t="shared" si="115"/>
        <v>0.7997557997557998</v>
      </c>
      <c r="F173" s="157">
        <f t="shared" si="116"/>
        <v>0.20024420024420025</v>
      </c>
      <c r="G173" s="157"/>
      <c r="H173" s="157"/>
      <c r="I173" s="157"/>
      <c r="K173" s="155">
        <f t="shared" si="117"/>
        <v>7197.802197802198</v>
      </c>
      <c r="L173" s="155">
        <f t="shared" si="118"/>
        <v>1802.1978021978023</v>
      </c>
      <c r="M173" s="155">
        <f t="shared" si="119"/>
        <v>0</v>
      </c>
      <c r="N173" s="155">
        <f t="shared" si="120"/>
        <v>0</v>
      </c>
      <c r="O173" s="155">
        <f t="shared" si="121"/>
        <v>0</v>
      </c>
      <c r="P173" s="174"/>
      <c r="Q173" s="156">
        <f t="shared" si="64"/>
        <v>0</v>
      </c>
    </row>
    <row r="174" spans="1:17" x14ac:dyDescent="0.2">
      <c r="A174" s="150" t="s">
        <v>302</v>
      </c>
      <c r="B174" s="152">
        <f>50450.4</f>
        <v>50450.400000000001</v>
      </c>
      <c r="C174" s="153" t="s">
        <v>79</v>
      </c>
      <c r="E174" s="157">
        <f t="shared" si="115"/>
        <v>0.7997557997557998</v>
      </c>
      <c r="F174" s="157">
        <f t="shared" si="116"/>
        <v>0.20024420024420025</v>
      </c>
      <c r="G174" s="157"/>
      <c r="H174" s="157"/>
      <c r="I174" s="157"/>
      <c r="K174" s="155">
        <f t="shared" si="117"/>
        <v>40348</v>
      </c>
      <c r="L174" s="155">
        <f t="shared" si="118"/>
        <v>10102.400000000001</v>
      </c>
      <c r="M174" s="155">
        <f t="shared" si="119"/>
        <v>0</v>
      </c>
      <c r="N174" s="155">
        <f t="shared" si="120"/>
        <v>0</v>
      </c>
      <c r="O174" s="155">
        <f t="shared" si="121"/>
        <v>0</v>
      </c>
      <c r="P174" s="174"/>
      <c r="Q174" s="156">
        <f t="shared" si="64"/>
        <v>0</v>
      </c>
    </row>
    <row r="175" spans="1:17" x14ac:dyDescent="0.2">
      <c r="A175" s="150" t="s">
        <v>303</v>
      </c>
      <c r="B175" s="152">
        <f>12940.2</f>
        <v>12940.2</v>
      </c>
      <c r="C175" s="153" t="s">
        <v>79</v>
      </c>
      <c r="E175" s="157">
        <f t="shared" si="115"/>
        <v>0.7997557997557998</v>
      </c>
      <c r="F175" s="157">
        <f t="shared" si="116"/>
        <v>0.20024420024420025</v>
      </c>
      <c r="G175" s="157"/>
      <c r="H175" s="157"/>
      <c r="I175" s="157"/>
      <c r="K175" s="155">
        <f t="shared" si="117"/>
        <v>10349.000000000002</v>
      </c>
      <c r="L175" s="155">
        <f t="shared" si="118"/>
        <v>2591.2000000000003</v>
      </c>
      <c r="M175" s="155">
        <f t="shared" si="119"/>
        <v>0</v>
      </c>
      <c r="N175" s="155">
        <f t="shared" si="120"/>
        <v>0</v>
      </c>
      <c r="O175" s="155">
        <f t="shared" si="121"/>
        <v>0</v>
      </c>
      <c r="P175" s="174"/>
      <c r="Q175" s="156">
        <f t="shared" si="64"/>
        <v>0</v>
      </c>
    </row>
    <row r="176" spans="1:17" x14ac:dyDescent="0.2">
      <c r="A176" s="150" t="s">
        <v>304</v>
      </c>
      <c r="B176" s="152">
        <f>5405.4</f>
        <v>5405.4</v>
      </c>
      <c r="C176" s="153" t="s">
        <v>79</v>
      </c>
      <c r="E176" s="157">
        <f t="shared" si="115"/>
        <v>0.7997557997557998</v>
      </c>
      <c r="F176" s="157">
        <f t="shared" si="116"/>
        <v>0.20024420024420025</v>
      </c>
      <c r="G176" s="157"/>
      <c r="H176" s="157"/>
      <c r="I176" s="157"/>
      <c r="K176" s="155">
        <f t="shared" si="117"/>
        <v>4323</v>
      </c>
      <c r="L176" s="155">
        <f t="shared" si="118"/>
        <v>1082.4000000000001</v>
      </c>
      <c r="M176" s="155">
        <f t="shared" si="119"/>
        <v>0</v>
      </c>
      <c r="N176" s="155">
        <f t="shared" si="120"/>
        <v>0</v>
      </c>
      <c r="O176" s="155">
        <f t="shared" si="121"/>
        <v>0</v>
      </c>
      <c r="P176" s="174"/>
      <c r="Q176" s="156">
        <f t="shared" si="64"/>
        <v>0</v>
      </c>
    </row>
    <row r="177" spans="1:17" x14ac:dyDescent="0.2">
      <c r="A177" s="150" t="s">
        <v>305</v>
      </c>
      <c r="B177" s="152">
        <f>16000</f>
        <v>16000</v>
      </c>
      <c r="C177" s="153" t="s">
        <v>87</v>
      </c>
      <c r="E177" s="157">
        <f t="shared" si="115"/>
        <v>0.7997557997557998</v>
      </c>
      <c r="F177" s="157">
        <f t="shared" si="116"/>
        <v>0.20024420024420025</v>
      </c>
      <c r="G177" s="157"/>
      <c r="H177" s="157"/>
      <c r="I177" s="157"/>
      <c r="K177" s="155">
        <f t="shared" si="117"/>
        <v>12796.092796092797</v>
      </c>
      <c r="L177" s="155">
        <f t="shared" si="118"/>
        <v>3203.9072039072039</v>
      </c>
      <c r="M177" s="155">
        <f t="shared" si="119"/>
        <v>0</v>
      </c>
      <c r="N177" s="155">
        <f t="shared" si="120"/>
        <v>0</v>
      </c>
      <c r="O177" s="155">
        <f t="shared" si="121"/>
        <v>0</v>
      </c>
      <c r="P177" s="174"/>
      <c r="Q177" s="156">
        <f t="shared" si="64"/>
        <v>0</v>
      </c>
    </row>
    <row r="178" spans="1:17" x14ac:dyDescent="0.2">
      <c r="A178" s="150" t="s">
        <v>306</v>
      </c>
      <c r="B178" s="152">
        <f>33000</f>
        <v>33000</v>
      </c>
      <c r="C178" s="153" t="s">
        <v>87</v>
      </c>
      <c r="E178" s="157">
        <f t="shared" si="115"/>
        <v>0.7997557997557998</v>
      </c>
      <c r="F178" s="157">
        <f t="shared" si="116"/>
        <v>0.20024420024420025</v>
      </c>
      <c r="G178" s="157"/>
      <c r="H178" s="157"/>
      <c r="I178" s="157"/>
      <c r="K178" s="155">
        <f t="shared" si="117"/>
        <v>26391.941391941393</v>
      </c>
      <c r="L178" s="155">
        <f t="shared" si="118"/>
        <v>6608.0586080586081</v>
      </c>
      <c r="M178" s="155">
        <f t="shared" si="119"/>
        <v>0</v>
      </c>
      <c r="N178" s="155">
        <f t="shared" si="120"/>
        <v>0</v>
      </c>
      <c r="O178" s="155">
        <f t="shared" si="121"/>
        <v>0</v>
      </c>
      <c r="P178" s="174"/>
      <c r="Q178" s="156">
        <f t="shared" ref="Q178:Q200" si="122">SUM(K178:P178)-B178</f>
        <v>0</v>
      </c>
    </row>
    <row r="179" spans="1:17" x14ac:dyDescent="0.2">
      <c r="A179" s="150" t="s">
        <v>307</v>
      </c>
      <c r="B179" s="158">
        <f>(((((((((((((((((((B159)+(B160))+(B161))+(B162))+(B163))+(B164))+(B165))+(B166))+(B167))+(B168))+(B169))+(B170))+(B171))+(B172))+(B173))+(B174))+(B175))+(B176))+(B177))+(B178)</f>
        <v>527796</v>
      </c>
      <c r="E179" s="159" t="s">
        <v>165</v>
      </c>
      <c r="F179" s="159" t="s">
        <v>165</v>
      </c>
      <c r="G179" s="159" t="s">
        <v>165</v>
      </c>
      <c r="H179" s="159" t="s">
        <v>165</v>
      </c>
      <c r="I179" s="159" t="s">
        <v>165</v>
      </c>
      <c r="K179" s="159" t="s">
        <v>165</v>
      </c>
      <c r="L179" s="159" t="s">
        <v>165</v>
      </c>
      <c r="M179" s="159" t="s">
        <v>165</v>
      </c>
      <c r="N179" s="159" t="s">
        <v>165</v>
      </c>
      <c r="O179" s="159" t="s">
        <v>165</v>
      </c>
      <c r="P179" s="174"/>
      <c r="Q179" s="156">
        <f t="shared" si="122"/>
        <v>-527796</v>
      </c>
    </row>
    <row r="180" spans="1:17" x14ac:dyDescent="0.2">
      <c r="A180" s="150" t="s">
        <v>308</v>
      </c>
      <c r="B180" s="151"/>
      <c r="P180" s="174"/>
      <c r="Q180" s="156">
        <f t="shared" si="122"/>
        <v>0</v>
      </c>
    </row>
    <row r="181" spans="1:17" x14ac:dyDescent="0.2">
      <c r="A181" s="150" t="s">
        <v>362</v>
      </c>
      <c r="B181" s="152">
        <f>713092</f>
        <v>713092</v>
      </c>
      <c r="C181" s="153" t="s">
        <v>98</v>
      </c>
      <c r="E181" s="161">
        <f t="shared" ref="E181:E190" si="123">$K$3</f>
        <v>0.67555059732799927</v>
      </c>
      <c r="F181" s="161">
        <f t="shared" ref="F181:F190" si="124">$L$3</f>
        <v>0.16486993102201086</v>
      </c>
      <c r="G181" s="161">
        <f t="shared" ref="G181:G190" si="125">$M$3</f>
        <v>0</v>
      </c>
      <c r="H181" s="161">
        <f t="shared" ref="H181:H190" si="126">$N$3</f>
        <v>0</v>
      </c>
      <c r="I181" s="161">
        <f t="shared" ref="I181:I190" si="127">$O$3</f>
        <v>0.15957947164999015</v>
      </c>
      <c r="K181" s="155">
        <f t="shared" ref="K181:K190" si="128">B181*E181</f>
        <v>481729.72654981766</v>
      </c>
      <c r="L181" s="155">
        <f t="shared" ref="L181:L190" si="129">B181*F181</f>
        <v>117567.42885234777</v>
      </c>
      <c r="M181" s="155">
        <f t="shared" ref="M181:M190" si="130">B181*G181</f>
        <v>0</v>
      </c>
      <c r="N181" s="155">
        <f t="shared" ref="N181:N190" si="131">B181*H181</f>
        <v>0</v>
      </c>
      <c r="O181" s="155">
        <f t="shared" ref="O181:O190" si="132">B181*I181</f>
        <v>113794.84459783477</v>
      </c>
      <c r="P181" s="174"/>
      <c r="Q181" s="156">
        <f t="shared" si="122"/>
        <v>0</v>
      </c>
    </row>
    <row r="182" spans="1:17" x14ac:dyDescent="0.2">
      <c r="A182" s="150" t="s">
        <v>363</v>
      </c>
      <c r="B182" s="152">
        <f>409550</f>
        <v>409550</v>
      </c>
      <c r="C182" s="153" t="s">
        <v>98</v>
      </c>
      <c r="E182" s="161">
        <f t="shared" si="123"/>
        <v>0.67555059732799927</v>
      </c>
      <c r="F182" s="161">
        <f t="shared" si="124"/>
        <v>0.16486993102201086</v>
      </c>
      <c r="G182" s="161">
        <f t="shared" si="125"/>
        <v>0</v>
      </c>
      <c r="H182" s="161">
        <f t="shared" si="126"/>
        <v>0</v>
      </c>
      <c r="I182" s="161">
        <f t="shared" si="127"/>
        <v>0.15957947164999015</v>
      </c>
      <c r="K182" s="155">
        <f t="shared" si="128"/>
        <v>276671.74713568209</v>
      </c>
      <c r="L182" s="155">
        <f t="shared" si="129"/>
        <v>67522.480250064546</v>
      </c>
      <c r="M182" s="155">
        <f t="shared" si="130"/>
        <v>0</v>
      </c>
      <c r="N182" s="155">
        <f t="shared" si="131"/>
        <v>0</v>
      </c>
      <c r="O182" s="155">
        <f t="shared" si="132"/>
        <v>65355.772614253467</v>
      </c>
      <c r="P182" s="174"/>
      <c r="Q182" s="156">
        <f t="shared" si="122"/>
        <v>0</v>
      </c>
    </row>
    <row r="183" spans="1:17" x14ac:dyDescent="0.2">
      <c r="A183" s="150" t="s">
        <v>309</v>
      </c>
      <c r="B183" s="152">
        <f>110000</f>
        <v>110000</v>
      </c>
      <c r="C183" s="153" t="s">
        <v>100</v>
      </c>
      <c r="E183" s="161">
        <f t="shared" si="123"/>
        <v>0.67555059732799927</v>
      </c>
      <c r="F183" s="161">
        <f t="shared" si="124"/>
        <v>0.16486993102201086</v>
      </c>
      <c r="G183" s="161">
        <f t="shared" si="125"/>
        <v>0</v>
      </c>
      <c r="H183" s="161">
        <f t="shared" si="126"/>
        <v>0</v>
      </c>
      <c r="I183" s="161">
        <f t="shared" si="127"/>
        <v>0.15957947164999015</v>
      </c>
      <c r="K183" s="155">
        <f t="shared" si="128"/>
        <v>74310.565706079913</v>
      </c>
      <c r="L183" s="155">
        <f t="shared" si="129"/>
        <v>18135.692412421195</v>
      </c>
      <c r="M183" s="155">
        <f t="shared" si="130"/>
        <v>0</v>
      </c>
      <c r="N183" s="155">
        <f t="shared" si="131"/>
        <v>0</v>
      </c>
      <c r="O183" s="155">
        <f t="shared" si="132"/>
        <v>17553.741881498918</v>
      </c>
      <c r="P183" s="174"/>
      <c r="Q183" s="156">
        <f t="shared" si="122"/>
        <v>0</v>
      </c>
    </row>
    <row r="184" spans="1:17" x14ac:dyDescent="0.2">
      <c r="A184" s="150" t="s">
        <v>364</v>
      </c>
      <c r="B184" s="152">
        <f>24000</f>
        <v>24000</v>
      </c>
      <c r="C184" s="153" t="s">
        <v>100</v>
      </c>
      <c r="E184" s="161">
        <f t="shared" si="123"/>
        <v>0.67555059732799927</v>
      </c>
      <c r="F184" s="161">
        <f t="shared" si="124"/>
        <v>0.16486993102201086</v>
      </c>
      <c r="G184" s="161">
        <f t="shared" si="125"/>
        <v>0</v>
      </c>
      <c r="H184" s="161">
        <f t="shared" si="126"/>
        <v>0</v>
      </c>
      <c r="I184" s="161">
        <f t="shared" si="127"/>
        <v>0.15957947164999015</v>
      </c>
      <c r="K184" s="155">
        <f t="shared" si="128"/>
        <v>16213.214335871982</v>
      </c>
      <c r="L184" s="155">
        <f t="shared" si="129"/>
        <v>3956.8783445282606</v>
      </c>
      <c r="M184" s="155">
        <f t="shared" si="130"/>
        <v>0</v>
      </c>
      <c r="N184" s="155">
        <f t="shared" si="131"/>
        <v>0</v>
      </c>
      <c r="O184" s="155">
        <f t="shared" si="132"/>
        <v>3829.9073195997635</v>
      </c>
      <c r="P184" s="174"/>
      <c r="Q184" s="156">
        <f t="shared" si="122"/>
        <v>0</v>
      </c>
    </row>
    <row r="185" spans="1:17" x14ac:dyDescent="0.2">
      <c r="A185" s="150" t="s">
        <v>365</v>
      </c>
      <c r="B185" s="152">
        <f>2000</f>
        <v>2000</v>
      </c>
      <c r="C185" s="153" t="s">
        <v>100</v>
      </c>
      <c r="E185" s="161">
        <f t="shared" si="123"/>
        <v>0.67555059732799927</v>
      </c>
      <c r="F185" s="161">
        <f t="shared" si="124"/>
        <v>0.16486993102201086</v>
      </c>
      <c r="G185" s="161">
        <f t="shared" si="125"/>
        <v>0</v>
      </c>
      <c r="H185" s="161">
        <f t="shared" si="126"/>
        <v>0</v>
      </c>
      <c r="I185" s="161">
        <f t="shared" si="127"/>
        <v>0.15957947164999015</v>
      </c>
      <c r="K185" s="155">
        <f t="shared" si="128"/>
        <v>1351.1011946559986</v>
      </c>
      <c r="L185" s="155">
        <f t="shared" si="129"/>
        <v>329.73986204402172</v>
      </c>
      <c r="M185" s="155">
        <f t="shared" si="130"/>
        <v>0</v>
      </c>
      <c r="N185" s="155">
        <f t="shared" si="131"/>
        <v>0</v>
      </c>
      <c r="O185" s="155">
        <f t="shared" si="132"/>
        <v>319.15894329998031</v>
      </c>
      <c r="P185" s="174"/>
      <c r="Q185" s="156">
        <f t="shared" si="122"/>
        <v>0</v>
      </c>
    </row>
    <row r="186" spans="1:17" x14ac:dyDescent="0.2">
      <c r="A186" s="150" t="s">
        <v>310</v>
      </c>
      <c r="B186" s="152">
        <f>10000</f>
        <v>10000</v>
      </c>
      <c r="C186" s="165" t="s">
        <v>99</v>
      </c>
      <c r="E186" s="161">
        <f t="shared" si="123"/>
        <v>0.67555059732799927</v>
      </c>
      <c r="F186" s="161">
        <f t="shared" si="124"/>
        <v>0.16486993102201086</v>
      </c>
      <c r="G186" s="161">
        <f t="shared" si="125"/>
        <v>0</v>
      </c>
      <c r="H186" s="161">
        <f t="shared" si="126"/>
        <v>0</v>
      </c>
      <c r="I186" s="161">
        <f t="shared" si="127"/>
        <v>0.15957947164999015</v>
      </c>
      <c r="K186" s="155">
        <f t="shared" si="128"/>
        <v>6755.5059732799928</v>
      </c>
      <c r="L186" s="155">
        <f t="shared" si="129"/>
        <v>1648.6993102201086</v>
      </c>
      <c r="M186" s="155">
        <f t="shared" si="130"/>
        <v>0</v>
      </c>
      <c r="N186" s="155">
        <f t="shared" si="131"/>
        <v>0</v>
      </c>
      <c r="O186" s="155">
        <f t="shared" si="132"/>
        <v>1595.7947164999014</v>
      </c>
      <c r="P186" s="174"/>
      <c r="Q186" s="156">
        <f t="shared" si="122"/>
        <v>0</v>
      </c>
    </row>
    <row r="187" spans="1:17" x14ac:dyDescent="0.2">
      <c r="A187" s="150" t="s">
        <v>311</v>
      </c>
      <c r="B187" s="152">
        <f>12000</f>
        <v>12000</v>
      </c>
      <c r="C187" s="153" t="s">
        <v>97</v>
      </c>
      <c r="E187" s="161">
        <f t="shared" si="123"/>
        <v>0.67555059732799927</v>
      </c>
      <c r="F187" s="161">
        <f t="shared" si="124"/>
        <v>0.16486993102201086</v>
      </c>
      <c r="G187" s="161">
        <f t="shared" si="125"/>
        <v>0</v>
      </c>
      <c r="H187" s="161">
        <f t="shared" si="126"/>
        <v>0</v>
      </c>
      <c r="I187" s="161">
        <f t="shared" si="127"/>
        <v>0.15957947164999015</v>
      </c>
      <c r="K187" s="155">
        <f t="shared" si="128"/>
        <v>8106.6071679359911</v>
      </c>
      <c r="L187" s="155">
        <f t="shared" si="129"/>
        <v>1978.4391722641303</v>
      </c>
      <c r="M187" s="155">
        <f t="shared" si="130"/>
        <v>0</v>
      </c>
      <c r="N187" s="155">
        <f t="shared" si="131"/>
        <v>0</v>
      </c>
      <c r="O187" s="155">
        <f t="shared" si="132"/>
        <v>1914.9536597998817</v>
      </c>
      <c r="P187" s="174"/>
      <c r="Q187" s="156">
        <f t="shared" si="122"/>
        <v>0</v>
      </c>
    </row>
    <row r="188" spans="1:17" x14ac:dyDescent="0.2">
      <c r="A188" s="150" t="s">
        <v>312</v>
      </c>
      <c r="B188" s="152">
        <f>88500</f>
        <v>88500</v>
      </c>
      <c r="C188" s="153" t="s">
        <v>313</v>
      </c>
      <c r="E188" s="161">
        <f t="shared" si="123"/>
        <v>0.67555059732799927</v>
      </c>
      <c r="F188" s="161">
        <f t="shared" si="124"/>
        <v>0.16486993102201086</v>
      </c>
      <c r="G188" s="161">
        <f t="shared" si="125"/>
        <v>0</v>
      </c>
      <c r="H188" s="161">
        <f t="shared" si="126"/>
        <v>0</v>
      </c>
      <c r="I188" s="161">
        <f t="shared" si="127"/>
        <v>0.15957947164999015</v>
      </c>
      <c r="K188" s="155">
        <f t="shared" si="128"/>
        <v>59786.227863527936</v>
      </c>
      <c r="L188" s="155">
        <f t="shared" si="129"/>
        <v>14590.988895447961</v>
      </c>
      <c r="M188" s="155">
        <f t="shared" si="130"/>
        <v>0</v>
      </c>
      <c r="N188" s="155">
        <f t="shared" si="131"/>
        <v>0</v>
      </c>
      <c r="O188" s="155">
        <f t="shared" si="132"/>
        <v>14122.783241024128</v>
      </c>
      <c r="P188" s="174"/>
      <c r="Q188" s="156">
        <f t="shared" si="122"/>
        <v>0</v>
      </c>
    </row>
    <row r="189" spans="1:17" x14ac:dyDescent="0.2">
      <c r="A189" s="150" t="s">
        <v>314</v>
      </c>
      <c r="B189" s="152">
        <f>65000</f>
        <v>65000</v>
      </c>
      <c r="C189" s="153" t="s">
        <v>99</v>
      </c>
      <c r="E189" s="161">
        <f t="shared" si="123"/>
        <v>0.67555059732799927</v>
      </c>
      <c r="F189" s="161">
        <f t="shared" si="124"/>
        <v>0.16486993102201086</v>
      </c>
      <c r="G189" s="161">
        <f t="shared" si="125"/>
        <v>0</v>
      </c>
      <c r="H189" s="161">
        <f t="shared" si="126"/>
        <v>0</v>
      </c>
      <c r="I189" s="161">
        <f t="shared" si="127"/>
        <v>0.15957947164999015</v>
      </c>
      <c r="K189" s="155">
        <f t="shared" si="128"/>
        <v>43910.788826319949</v>
      </c>
      <c r="L189" s="155">
        <f t="shared" si="129"/>
        <v>10716.545516430706</v>
      </c>
      <c r="M189" s="155">
        <f t="shared" si="130"/>
        <v>0</v>
      </c>
      <c r="N189" s="155">
        <f t="shared" si="131"/>
        <v>0</v>
      </c>
      <c r="O189" s="155">
        <f t="shared" si="132"/>
        <v>10372.665657249359</v>
      </c>
      <c r="P189" s="174"/>
      <c r="Q189" s="156">
        <f t="shared" si="122"/>
        <v>0</v>
      </c>
    </row>
    <row r="190" spans="1:17" x14ac:dyDescent="0.2">
      <c r="A190" s="150" t="s">
        <v>366</v>
      </c>
      <c r="B190" s="152">
        <f>25000</f>
        <v>25000</v>
      </c>
      <c r="C190" s="153" t="s">
        <v>98</v>
      </c>
      <c r="E190" s="161">
        <f t="shared" si="123"/>
        <v>0.67555059732799927</v>
      </c>
      <c r="F190" s="161">
        <f t="shared" si="124"/>
        <v>0.16486993102201086</v>
      </c>
      <c r="G190" s="161">
        <f t="shared" si="125"/>
        <v>0</v>
      </c>
      <c r="H190" s="161">
        <f t="shared" si="126"/>
        <v>0</v>
      </c>
      <c r="I190" s="161">
        <f t="shared" si="127"/>
        <v>0.15957947164999015</v>
      </c>
      <c r="K190" s="155">
        <f t="shared" si="128"/>
        <v>16888.764933199982</v>
      </c>
      <c r="L190" s="155">
        <f t="shared" si="129"/>
        <v>4121.7482755502715</v>
      </c>
      <c r="M190" s="155">
        <f t="shared" si="130"/>
        <v>0</v>
      </c>
      <c r="N190" s="155">
        <f t="shared" si="131"/>
        <v>0</v>
      </c>
      <c r="O190" s="155">
        <f t="shared" si="132"/>
        <v>3989.4867912497534</v>
      </c>
      <c r="P190" s="174"/>
      <c r="Q190" s="156">
        <f t="shared" si="122"/>
        <v>0</v>
      </c>
    </row>
    <row r="191" spans="1:17" x14ac:dyDescent="0.2">
      <c r="A191" s="150" t="s">
        <v>315</v>
      </c>
      <c r="B191" s="158">
        <f>((((((((((B180)+(B181))+(B182))+(B183))+(B184))+(B185))+(B186))+(B187))+(B188))+(B189))+(B190)</f>
        <v>1459142</v>
      </c>
      <c r="E191" s="159" t="s">
        <v>165</v>
      </c>
      <c r="F191" s="159" t="s">
        <v>165</v>
      </c>
      <c r="G191" s="159" t="s">
        <v>165</v>
      </c>
      <c r="H191" s="159" t="s">
        <v>165</v>
      </c>
      <c r="I191" s="159" t="s">
        <v>165</v>
      </c>
      <c r="K191" s="159" t="s">
        <v>165</v>
      </c>
      <c r="L191" s="159" t="s">
        <v>165</v>
      </c>
      <c r="M191" s="159" t="s">
        <v>165</v>
      </c>
      <c r="N191" s="159" t="s">
        <v>165</v>
      </c>
      <c r="O191" s="159" t="s">
        <v>165</v>
      </c>
      <c r="P191" s="174"/>
      <c r="Q191" s="156">
        <f t="shared" si="122"/>
        <v>-1459142</v>
      </c>
    </row>
    <row r="192" spans="1:17" x14ac:dyDescent="0.2">
      <c r="A192" s="150" t="s">
        <v>316</v>
      </c>
      <c r="B192" s="151"/>
      <c r="P192" s="174"/>
      <c r="Q192" s="156">
        <f t="shared" si="122"/>
        <v>0</v>
      </c>
    </row>
    <row r="193" spans="1:17" x14ac:dyDescent="0.2">
      <c r="A193" s="150" t="s">
        <v>317</v>
      </c>
      <c r="B193" s="152">
        <f>12000</f>
        <v>12000</v>
      </c>
      <c r="C193" s="153" t="s">
        <v>82</v>
      </c>
      <c r="E193" s="161">
        <f t="shared" ref="E193:E201" si="133">$K$3</f>
        <v>0.67555059732799927</v>
      </c>
      <c r="F193" s="161">
        <f t="shared" ref="F193:F201" si="134">$L$3</f>
        <v>0.16486993102201086</v>
      </c>
      <c r="G193" s="161">
        <f t="shared" ref="G193:G201" si="135">$M$3</f>
        <v>0</v>
      </c>
      <c r="H193" s="161">
        <f t="shared" ref="H193:H201" si="136">$N$3</f>
        <v>0</v>
      </c>
      <c r="I193" s="161">
        <f t="shared" ref="I193:I201" si="137">$O$3</f>
        <v>0.15957947164999015</v>
      </c>
      <c r="K193" s="155">
        <f t="shared" ref="K193:K199" si="138">B193*E193</f>
        <v>8106.6071679359911</v>
      </c>
      <c r="L193" s="155">
        <f t="shared" ref="L193:L199" si="139">B193*F193</f>
        <v>1978.4391722641303</v>
      </c>
      <c r="M193" s="155">
        <f t="shared" ref="M193:M199" si="140">B193*G193</f>
        <v>0</v>
      </c>
      <c r="N193" s="155">
        <f t="shared" ref="N193:N199" si="141">B193*H193</f>
        <v>0</v>
      </c>
      <c r="O193" s="155">
        <f t="shared" ref="O193:O199" si="142">B193*I193</f>
        <v>1914.9536597998817</v>
      </c>
      <c r="P193" s="174"/>
      <c r="Q193" s="156">
        <f t="shared" si="122"/>
        <v>0</v>
      </c>
    </row>
    <row r="194" spans="1:17" x14ac:dyDescent="0.2">
      <c r="A194" s="150" t="s">
        <v>318</v>
      </c>
      <c r="B194" s="152">
        <f>12000</f>
        <v>12000</v>
      </c>
      <c r="C194" s="153" t="s">
        <v>82</v>
      </c>
      <c r="E194" s="161">
        <f t="shared" si="133"/>
        <v>0.67555059732799927</v>
      </c>
      <c r="F194" s="161">
        <f t="shared" si="134"/>
        <v>0.16486993102201086</v>
      </c>
      <c r="G194" s="161">
        <f t="shared" si="135"/>
        <v>0</v>
      </c>
      <c r="H194" s="161">
        <f t="shared" si="136"/>
        <v>0</v>
      </c>
      <c r="I194" s="161">
        <f t="shared" si="137"/>
        <v>0.15957947164999015</v>
      </c>
      <c r="K194" s="155">
        <f t="shared" si="138"/>
        <v>8106.6071679359911</v>
      </c>
      <c r="L194" s="155">
        <f t="shared" si="139"/>
        <v>1978.4391722641303</v>
      </c>
      <c r="M194" s="155">
        <f t="shared" si="140"/>
        <v>0</v>
      </c>
      <c r="N194" s="155">
        <f t="shared" si="141"/>
        <v>0</v>
      </c>
      <c r="O194" s="155">
        <f t="shared" si="142"/>
        <v>1914.9536597998817</v>
      </c>
      <c r="P194" s="174"/>
      <c r="Q194" s="156">
        <f t="shared" si="122"/>
        <v>0</v>
      </c>
    </row>
    <row r="195" spans="1:17" x14ac:dyDescent="0.2">
      <c r="A195" s="150" t="s">
        <v>319</v>
      </c>
      <c r="B195" s="152">
        <f>1200</f>
        <v>1200</v>
      </c>
      <c r="C195" s="153" t="s">
        <v>83</v>
      </c>
      <c r="E195" s="161">
        <f t="shared" si="133"/>
        <v>0.67555059732799927</v>
      </c>
      <c r="F195" s="161">
        <f t="shared" si="134"/>
        <v>0.16486993102201086</v>
      </c>
      <c r="G195" s="161">
        <f t="shared" si="135"/>
        <v>0</v>
      </c>
      <c r="H195" s="161">
        <f t="shared" si="136"/>
        <v>0</v>
      </c>
      <c r="I195" s="161">
        <f t="shared" si="137"/>
        <v>0.15957947164999015</v>
      </c>
      <c r="K195" s="155">
        <f t="shared" si="138"/>
        <v>810.66071679359914</v>
      </c>
      <c r="L195" s="155">
        <f t="shared" si="139"/>
        <v>197.84391722641303</v>
      </c>
      <c r="M195" s="155">
        <f t="shared" si="140"/>
        <v>0</v>
      </c>
      <c r="N195" s="155">
        <f t="shared" si="141"/>
        <v>0</v>
      </c>
      <c r="O195" s="155">
        <f t="shared" si="142"/>
        <v>191.49536597998818</v>
      </c>
      <c r="P195" s="174"/>
      <c r="Q195" s="156">
        <f t="shared" si="122"/>
        <v>0</v>
      </c>
    </row>
    <row r="196" spans="1:17" x14ac:dyDescent="0.2">
      <c r="A196" s="150" t="s">
        <v>320</v>
      </c>
      <c r="B196" s="152">
        <f>80000</f>
        <v>80000</v>
      </c>
      <c r="C196" s="153" t="s">
        <v>83</v>
      </c>
      <c r="E196" s="161">
        <f t="shared" si="133"/>
        <v>0.67555059732799927</v>
      </c>
      <c r="F196" s="161">
        <f t="shared" si="134"/>
        <v>0.16486993102201086</v>
      </c>
      <c r="G196" s="161">
        <f t="shared" si="135"/>
        <v>0</v>
      </c>
      <c r="H196" s="161">
        <f t="shared" si="136"/>
        <v>0</v>
      </c>
      <c r="I196" s="161">
        <f t="shared" si="137"/>
        <v>0.15957947164999015</v>
      </c>
      <c r="K196" s="155">
        <f t="shared" si="138"/>
        <v>54044.047786239942</v>
      </c>
      <c r="L196" s="155">
        <f t="shared" si="139"/>
        <v>13189.594481760869</v>
      </c>
      <c r="M196" s="155">
        <f t="shared" si="140"/>
        <v>0</v>
      </c>
      <c r="N196" s="155">
        <f t="shared" si="141"/>
        <v>0</v>
      </c>
      <c r="O196" s="155">
        <f t="shared" si="142"/>
        <v>12766.357731999211</v>
      </c>
      <c r="P196" s="174"/>
      <c r="Q196" s="156">
        <f t="shared" si="122"/>
        <v>0</v>
      </c>
    </row>
    <row r="197" spans="1:17" x14ac:dyDescent="0.2">
      <c r="A197" s="150" t="s">
        <v>321</v>
      </c>
      <c r="B197" s="152">
        <f>33000</f>
        <v>33000</v>
      </c>
      <c r="C197" s="153" t="s">
        <v>83</v>
      </c>
      <c r="E197" s="161">
        <f t="shared" si="133"/>
        <v>0.67555059732799927</v>
      </c>
      <c r="F197" s="161">
        <f t="shared" si="134"/>
        <v>0.16486993102201086</v>
      </c>
      <c r="G197" s="161">
        <f t="shared" si="135"/>
        <v>0</v>
      </c>
      <c r="H197" s="161">
        <f t="shared" si="136"/>
        <v>0</v>
      </c>
      <c r="I197" s="161">
        <f t="shared" si="137"/>
        <v>0.15957947164999015</v>
      </c>
      <c r="K197" s="155">
        <f t="shared" si="138"/>
        <v>22293.169711823975</v>
      </c>
      <c r="L197" s="155">
        <f t="shared" si="139"/>
        <v>5440.7077237263584</v>
      </c>
      <c r="M197" s="155">
        <f t="shared" si="140"/>
        <v>0</v>
      </c>
      <c r="N197" s="155">
        <f t="shared" si="141"/>
        <v>0</v>
      </c>
      <c r="O197" s="155">
        <f t="shared" si="142"/>
        <v>5266.1225644496744</v>
      </c>
      <c r="P197" s="174"/>
      <c r="Q197" s="156">
        <f t="shared" si="122"/>
        <v>0</v>
      </c>
    </row>
    <row r="198" spans="1:17" x14ac:dyDescent="0.2">
      <c r="A198" s="150" t="s">
        <v>367</v>
      </c>
      <c r="B198" s="152">
        <f>3600</f>
        <v>3600</v>
      </c>
      <c r="C198" s="153" t="s">
        <v>83</v>
      </c>
      <c r="E198" s="161">
        <f t="shared" si="133"/>
        <v>0.67555059732799927</v>
      </c>
      <c r="F198" s="161">
        <f t="shared" si="134"/>
        <v>0.16486993102201086</v>
      </c>
      <c r="G198" s="161">
        <f t="shared" si="135"/>
        <v>0</v>
      </c>
      <c r="H198" s="161">
        <f t="shared" si="136"/>
        <v>0</v>
      </c>
      <c r="I198" s="161">
        <f t="shared" si="137"/>
        <v>0.15957947164999015</v>
      </c>
      <c r="K198" s="155">
        <f t="shared" si="138"/>
        <v>2431.9821503807975</v>
      </c>
      <c r="L198" s="155">
        <f t="shared" si="139"/>
        <v>593.53175167923905</v>
      </c>
      <c r="M198" s="155">
        <f t="shared" si="140"/>
        <v>0</v>
      </c>
      <c r="N198" s="155">
        <f t="shared" si="141"/>
        <v>0</v>
      </c>
      <c r="O198" s="155">
        <f t="shared" si="142"/>
        <v>574.48609793996457</v>
      </c>
      <c r="P198" s="174"/>
      <c r="Q198" s="156">
        <f t="shared" si="122"/>
        <v>0</v>
      </c>
    </row>
    <row r="199" spans="1:17" x14ac:dyDescent="0.2">
      <c r="A199" s="150" t="s">
        <v>322</v>
      </c>
      <c r="B199" s="152">
        <f>5000</f>
        <v>5000</v>
      </c>
      <c r="C199" s="153" t="s">
        <v>83</v>
      </c>
      <c r="E199" s="161">
        <f t="shared" si="133"/>
        <v>0.67555059732799927</v>
      </c>
      <c r="F199" s="161">
        <f t="shared" si="134"/>
        <v>0.16486993102201086</v>
      </c>
      <c r="G199" s="161">
        <f t="shared" si="135"/>
        <v>0</v>
      </c>
      <c r="H199" s="161">
        <f t="shared" si="136"/>
        <v>0</v>
      </c>
      <c r="I199" s="161">
        <f t="shared" si="137"/>
        <v>0.15957947164999015</v>
      </c>
      <c r="K199" s="155">
        <f t="shared" si="138"/>
        <v>3377.7529866399964</v>
      </c>
      <c r="L199" s="155">
        <f t="shared" si="139"/>
        <v>824.3496551100543</v>
      </c>
      <c r="M199" s="155">
        <f t="shared" si="140"/>
        <v>0</v>
      </c>
      <c r="N199" s="155">
        <f t="shared" si="141"/>
        <v>0</v>
      </c>
      <c r="O199" s="155">
        <f t="shared" si="142"/>
        <v>797.89735824995068</v>
      </c>
      <c r="P199" s="174"/>
      <c r="Q199" s="156">
        <f t="shared" si="122"/>
        <v>0</v>
      </c>
    </row>
    <row r="200" spans="1:17" x14ac:dyDescent="0.2">
      <c r="A200" s="150" t="s">
        <v>323</v>
      </c>
      <c r="B200" s="158">
        <f>(((((((B192)+(B193))+(B194))+(B195))+(B196))+(B197))+(B198))+(B199)</f>
        <v>146800</v>
      </c>
      <c r="E200" s="159" t="s">
        <v>165</v>
      </c>
      <c r="F200" s="159" t="s">
        <v>165</v>
      </c>
      <c r="G200" s="159" t="s">
        <v>165</v>
      </c>
      <c r="H200" s="159" t="s">
        <v>165</v>
      </c>
      <c r="I200" s="159" t="s">
        <v>165</v>
      </c>
      <c r="K200" s="159" t="s">
        <v>165</v>
      </c>
      <c r="L200" s="159" t="s">
        <v>165</v>
      </c>
      <c r="M200" s="159" t="s">
        <v>165</v>
      </c>
      <c r="N200" s="159" t="s">
        <v>165</v>
      </c>
      <c r="O200" s="159" t="s">
        <v>165</v>
      </c>
      <c r="P200" s="174"/>
      <c r="Q200" s="156">
        <f t="shared" si="122"/>
        <v>-146800</v>
      </c>
    </row>
    <row r="201" spans="1:17" x14ac:dyDescent="0.2">
      <c r="A201" s="150" t="s">
        <v>324</v>
      </c>
      <c r="B201" s="152">
        <f>450000</f>
        <v>450000</v>
      </c>
      <c r="C201" s="153" t="s">
        <v>102</v>
      </c>
      <c r="E201" s="161">
        <f t="shared" si="133"/>
        <v>0.67555059732799927</v>
      </c>
      <c r="F201" s="161">
        <f t="shared" si="134"/>
        <v>0.16486993102201086</v>
      </c>
      <c r="G201" s="161">
        <f t="shared" si="135"/>
        <v>0</v>
      </c>
      <c r="H201" s="161">
        <f t="shared" si="136"/>
        <v>0</v>
      </c>
      <c r="I201" s="161">
        <f t="shared" si="137"/>
        <v>0.15957947164999015</v>
      </c>
      <c r="K201" s="155">
        <f t="shared" ref="K201" si="143">B201*E201</f>
        <v>303997.76879759965</v>
      </c>
      <c r="L201" s="155">
        <f t="shared" ref="L201" si="144">B201*F201</f>
        <v>74191.468959904887</v>
      </c>
      <c r="M201" s="155">
        <f t="shared" ref="M201" si="145">B201*G201</f>
        <v>0</v>
      </c>
      <c r="N201" s="155">
        <f t="shared" ref="N201" si="146">B201*H201</f>
        <v>0</v>
      </c>
      <c r="O201" s="155">
        <f t="shared" ref="O201" si="147">B201*I201</f>
        <v>71810.762242495563</v>
      </c>
      <c r="P201" s="174"/>
      <c r="Q201" s="156">
        <f>SUM(K201:P201)-B201</f>
        <v>0</v>
      </c>
    </row>
    <row r="202" spans="1:17" x14ac:dyDescent="0.2">
      <c r="A202" s="150" t="s">
        <v>1</v>
      </c>
      <c r="B202" s="158">
        <f>((((((((((B89)+(B112))+(B127))+(B141))+(B151))+(B155))+(B158))+(B179))+(B191))+(B200))+(B201)</f>
        <v>15658056</v>
      </c>
      <c r="K202" s="171">
        <f>SUM(K89:K201)</f>
        <v>10648704.916520242</v>
      </c>
      <c r="L202" s="171">
        <f t="shared" ref="L202:O202" si="148">SUM(L89:L201)</f>
        <v>2601734.1040337346</v>
      </c>
      <c r="M202" s="171">
        <f t="shared" si="148"/>
        <v>0</v>
      </c>
      <c r="N202" s="171">
        <f t="shared" si="148"/>
        <v>0</v>
      </c>
      <c r="O202" s="171">
        <f t="shared" si="148"/>
        <v>2407616.9794460316</v>
      </c>
      <c r="P202" s="174"/>
    </row>
    <row r="203" spans="1:17" x14ac:dyDescent="0.2">
      <c r="A203" s="150" t="s">
        <v>368</v>
      </c>
      <c r="B203" s="158">
        <f>(B31)-(B202)</f>
        <v>200000</v>
      </c>
      <c r="K203" s="170">
        <f>K202-'2018-2019 Budget'!I144</f>
        <v>0</v>
      </c>
      <c r="L203" s="170">
        <f>L202-'2018-2019 Budget'!J144</f>
        <v>0</v>
      </c>
      <c r="M203" s="170">
        <f>M202-'2018-2019 Budget'!K144</f>
        <v>0</v>
      </c>
      <c r="N203" s="170">
        <f>N202-'2018-2019 Budget'!L144</f>
        <v>0</v>
      </c>
      <c r="O203" s="170">
        <f>O202-'2018-2019 Budget'!M144</f>
        <v>0</v>
      </c>
      <c r="P203" s="174"/>
    </row>
    <row r="204" spans="1:17" x14ac:dyDescent="0.2">
      <c r="A204" s="150" t="s">
        <v>2</v>
      </c>
      <c r="B204" s="158">
        <f>(B203)+(0)</f>
        <v>200000</v>
      </c>
    </row>
    <row r="205" spans="1:17" x14ac:dyDescent="0.2">
      <c r="A205" s="150"/>
      <c r="B205" s="151"/>
    </row>
    <row r="208" spans="1:17" x14ac:dyDescent="0.2">
      <c r="A208" s="167"/>
      <c r="B208" s="168"/>
    </row>
  </sheetData>
  <mergeCells count="5">
    <mergeCell ref="A1:B1"/>
    <mergeCell ref="A2:B2"/>
    <mergeCell ref="E2:G2"/>
    <mergeCell ref="A3:B3"/>
    <mergeCell ref="E3:G3"/>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B52" sqref="B52"/>
    </sheetView>
  </sheetViews>
  <sheetFormatPr defaultRowHeight="14.25" x14ac:dyDescent="0.2"/>
  <sheetData>
    <row r="1" spans="1:3" ht="33.75" x14ac:dyDescent="0.2">
      <c r="A1" s="150" t="s">
        <v>325</v>
      </c>
      <c r="B1" s="166">
        <v>212587.32</v>
      </c>
      <c r="C1" s="153" t="s">
        <v>35</v>
      </c>
    </row>
    <row r="2" spans="1:3" ht="33.75" x14ac:dyDescent="0.2">
      <c r="A2" s="150" t="s">
        <v>326</v>
      </c>
      <c r="B2" s="166">
        <v>418000</v>
      </c>
      <c r="C2" s="153" t="s">
        <v>35</v>
      </c>
    </row>
    <row r="3" spans="1:3" ht="45" x14ac:dyDescent="0.2">
      <c r="A3" s="150" t="s">
        <v>327</v>
      </c>
      <c r="B3" s="166">
        <v>100000</v>
      </c>
      <c r="C3" s="153" t="s">
        <v>35</v>
      </c>
    </row>
    <row r="4" spans="1:3" ht="33.75" x14ac:dyDescent="0.2">
      <c r="A4" s="150" t="s">
        <v>328</v>
      </c>
      <c r="B4" s="166"/>
      <c r="C4" s="153" t="s">
        <v>43</v>
      </c>
    </row>
    <row r="5" spans="1:3" ht="22.5" x14ac:dyDescent="0.2">
      <c r="A5" s="150" t="s">
        <v>329</v>
      </c>
      <c r="B5" s="166"/>
      <c r="C5" s="153" t="s">
        <v>47</v>
      </c>
    </row>
    <row r="6" spans="1:3" ht="22.5" x14ac:dyDescent="0.2">
      <c r="A6" s="150" t="s">
        <v>330</v>
      </c>
      <c r="B6" s="166"/>
      <c r="C6" s="153" t="s">
        <v>47</v>
      </c>
    </row>
    <row r="7" spans="1:3" ht="33.75" x14ac:dyDescent="0.2">
      <c r="A7" s="150" t="s">
        <v>331</v>
      </c>
      <c r="B7" s="166"/>
      <c r="C7" s="153" t="s">
        <v>47</v>
      </c>
    </row>
    <row r="8" spans="1:3" ht="33.75" x14ac:dyDescent="0.2">
      <c r="A8" s="150" t="s">
        <v>332</v>
      </c>
      <c r="B8" s="166"/>
      <c r="C8" s="153" t="s">
        <v>37</v>
      </c>
    </row>
    <row r="9" spans="1:3" ht="33.75" x14ac:dyDescent="0.2">
      <c r="A9" s="150" t="s">
        <v>333</v>
      </c>
      <c r="B9" s="166"/>
      <c r="C9" s="153" t="s">
        <v>43</v>
      </c>
    </row>
    <row r="10" spans="1:3" ht="45" x14ac:dyDescent="0.2">
      <c r="A10" s="150" t="s">
        <v>334</v>
      </c>
      <c r="B10" s="166"/>
      <c r="C10" s="153" t="s">
        <v>47</v>
      </c>
    </row>
    <row r="11" spans="1:3" ht="33.75" x14ac:dyDescent="0.2">
      <c r="A11" s="150" t="s">
        <v>335</v>
      </c>
      <c r="B11" s="166"/>
      <c r="C11" s="153" t="s">
        <v>47</v>
      </c>
    </row>
    <row r="12" spans="1:3" ht="45" x14ac:dyDescent="0.2">
      <c r="A12" s="150" t="s">
        <v>336</v>
      </c>
      <c r="B12" s="166"/>
      <c r="C12" s="153" t="s">
        <v>37</v>
      </c>
    </row>
    <row r="13" spans="1:3" ht="33.75" x14ac:dyDescent="0.2">
      <c r="A13" s="150" t="s">
        <v>337</v>
      </c>
      <c r="B13" s="166"/>
      <c r="C13" s="153" t="s">
        <v>37</v>
      </c>
    </row>
    <row r="14" spans="1:3" ht="45" x14ac:dyDescent="0.2">
      <c r="A14" s="150" t="s">
        <v>338</v>
      </c>
      <c r="B14" s="166"/>
      <c r="C14" s="153" t="s">
        <v>37</v>
      </c>
    </row>
    <row r="15" spans="1:3" ht="33.75" x14ac:dyDescent="0.2">
      <c r="A15" s="150" t="s">
        <v>339</v>
      </c>
      <c r="B15" s="166"/>
      <c r="C15" s="153" t="s">
        <v>49</v>
      </c>
    </row>
    <row r="16" spans="1:3" ht="45" x14ac:dyDescent="0.2">
      <c r="A16" s="150" t="s">
        <v>340</v>
      </c>
      <c r="B16" s="166"/>
      <c r="C16" s="153" t="s">
        <v>44</v>
      </c>
    </row>
    <row r="17" spans="1:3" ht="45" x14ac:dyDescent="0.2">
      <c r="A17" s="150" t="s">
        <v>341</v>
      </c>
      <c r="B17" s="166"/>
      <c r="C17" s="153" t="s">
        <v>43</v>
      </c>
    </row>
    <row r="18" spans="1:3" ht="45" x14ac:dyDescent="0.2">
      <c r="A18" s="150" t="s">
        <v>342</v>
      </c>
      <c r="B18" s="166"/>
      <c r="C18" s="15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2018-2019 Budget</vt:lpstr>
      <vt:lpstr>Details</vt:lpstr>
      <vt:lpstr>Sheet2</vt:lpstr>
      <vt:lpstr>'2018-2019 Budget'!Print_Area</vt:lpstr>
      <vt:lpstr>'2018-2019 Budget'!Print_Titles</vt:lpstr>
    </vt:vector>
  </TitlesOfParts>
  <Company>NYSED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DuFour</dc:creator>
  <cp:lastModifiedBy>Kamilah O'Brien</cp:lastModifiedBy>
  <cp:lastPrinted>2014-03-25T19:42:00Z</cp:lastPrinted>
  <dcterms:created xsi:type="dcterms:W3CDTF">2010-12-29T20:19:18Z</dcterms:created>
  <dcterms:modified xsi:type="dcterms:W3CDTF">2018-07-19T15:19:33Z</dcterms:modified>
</cp:coreProperties>
</file>